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VOSTOK\VOSTOK_9\"/>
    </mc:Choice>
  </mc:AlternateContent>
  <xr:revisionPtr revIDLastSave="0" documentId="13_ncr:1_{B59EC8CC-C20E-4485-966B-CAE06A50E8C1}" xr6:coauthVersionLast="47" xr6:coauthVersionMax="47" xr10:uidLastSave="{00000000-0000-0000-0000-000000000000}"/>
  <bookViews>
    <workbookView xWindow="18735" yWindow="0" windowWidth="38610" windowHeight="21705" tabRatio="500" xr2:uid="{00000000-000D-0000-FFFF-FFFF00000000}"/>
  </bookViews>
  <sheets>
    <sheet name="Настройки" sheetId="1" r:id="rId1"/>
    <sheet name="Покупные изд." sheetId="2" r:id="rId2"/>
    <sheet name="Стандартные изд." sheetId="3" r:id="rId3"/>
    <sheet name="Печатные изд." sheetId="4" r:id="rId4"/>
    <sheet name="Профиль" sheetId="5" r:id="rId5"/>
    <sheet name="Зашивка" sheetId="7" r:id="rId6"/>
    <sheet name="Проводка" sheetId="6" r:id="rId7"/>
    <sheet name="Константы" sheetId="8" state="hidden" r:id="rId8"/>
    <sheet name="Расчёты" sheetId="9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20" i="6" l="1"/>
  <c r="J20" i="6" s="1"/>
  <c r="G20" i="6"/>
  <c r="H19" i="6"/>
  <c r="J19" i="6" s="1"/>
  <c r="G19" i="6"/>
  <c r="B42" i="1"/>
  <c r="K122" i="4" a="1"/>
  <c r="K122" i="4" s="1"/>
  <c r="K121" i="4" a="1"/>
  <c r="K121" i="4" s="1"/>
  <c r="K120" i="4" a="1"/>
  <c r="K120" i="4" s="1"/>
  <c r="K119" i="4" a="1"/>
  <c r="K119" i="4" s="1"/>
  <c r="K118" i="4" a="1"/>
  <c r="K118" i="4" s="1"/>
  <c r="K117" i="4" a="1"/>
  <c r="K117" i="4" s="1"/>
  <c r="K116" i="4" a="1"/>
  <c r="K116" i="4" s="1"/>
  <c r="K115" i="4" a="1"/>
  <c r="K115" i="4" s="1"/>
  <c r="K114" i="4" a="1"/>
  <c r="K114" i="4" s="1"/>
  <c r="K113" i="4" a="1"/>
  <c r="K113" i="4" s="1"/>
  <c r="K112" i="4" a="1"/>
  <c r="K112" i="4" s="1"/>
  <c r="K111" i="4" a="1"/>
  <c r="K111" i="4" s="1"/>
  <c r="K110" i="4" a="1"/>
  <c r="K110" i="4" s="1"/>
  <c r="K109" i="4" a="1"/>
  <c r="K109" i="4" s="1"/>
  <c r="K108" i="4"/>
  <c r="K108" i="4" a="1"/>
  <c r="K107" i="4" a="1"/>
  <c r="K107" i="4" s="1"/>
  <c r="K106" i="4" a="1"/>
  <c r="K106" i="4" s="1"/>
  <c r="K105" i="4" a="1"/>
  <c r="K105" i="4" s="1"/>
  <c r="K104" i="4" a="1"/>
  <c r="K104" i="4" s="1"/>
  <c r="K103" i="4" a="1"/>
  <c r="K103" i="4" s="1"/>
  <c r="K102" i="4" a="1"/>
  <c r="K102" i="4" s="1"/>
  <c r="K101" i="4" a="1"/>
  <c r="K101" i="4" s="1"/>
  <c r="K100" i="4" a="1"/>
  <c r="K100" i="4" s="1"/>
  <c r="K99" i="4" a="1"/>
  <c r="K99" i="4" s="1"/>
  <c r="K98" i="4" a="1"/>
  <c r="K98" i="4" s="1"/>
  <c r="K97" i="4" a="1"/>
  <c r="K97" i="4" s="1"/>
  <c r="K96" i="4" a="1"/>
  <c r="K96" i="4" s="1"/>
  <c r="K95" i="4" a="1"/>
  <c r="K95" i="4" s="1"/>
  <c r="K94" i="4" a="1"/>
  <c r="K94" i="4" s="1"/>
  <c r="K93" i="4" a="1"/>
  <c r="K93" i="4" s="1"/>
  <c r="K92" i="4"/>
  <c r="K92" i="4" a="1"/>
  <c r="K91" i="4" a="1"/>
  <c r="K91" i="4" s="1"/>
  <c r="K90" i="4" a="1"/>
  <c r="K90" i="4" s="1"/>
  <c r="K89" i="4" a="1"/>
  <c r="K89" i="4" s="1"/>
  <c r="K88" i="4" a="1"/>
  <c r="K88" i="4" s="1"/>
  <c r="K87" i="4" a="1"/>
  <c r="K87" i="4" s="1"/>
  <c r="K86" i="4" a="1"/>
  <c r="K86" i="4" s="1"/>
  <c r="K85" i="4" a="1"/>
  <c r="K85" i="4" s="1"/>
  <c r="K84" i="4" a="1"/>
  <c r="K84" i="4" s="1"/>
  <c r="K83" i="4" a="1"/>
  <c r="K83" i="4" s="1"/>
  <c r="K82" i="4" a="1"/>
  <c r="K82" i="4" s="1"/>
  <c r="K81" i="4" a="1"/>
  <c r="K81" i="4" s="1"/>
  <c r="K80" i="4" a="1"/>
  <c r="K80" i="4" s="1"/>
  <c r="K79" i="4" a="1"/>
  <c r="K79" i="4" s="1"/>
  <c r="K78" i="4" a="1"/>
  <c r="K78" i="4" s="1"/>
  <c r="K77" i="4" a="1"/>
  <c r="K77" i="4" s="1"/>
  <c r="K76" i="4" a="1"/>
  <c r="K76" i="4" s="1"/>
  <c r="K75" i="4" a="1"/>
  <c r="K75" i="4" s="1"/>
  <c r="K74" i="4" a="1"/>
  <c r="K74" i="4" s="1"/>
  <c r="K73" i="4" a="1"/>
  <c r="K73" i="4" s="1"/>
  <c r="K72" i="4" a="1"/>
  <c r="K72" i="4" s="1"/>
  <c r="K71" i="4" a="1"/>
  <c r="K71" i="4" s="1"/>
  <c r="K70" i="4" a="1"/>
  <c r="K70" i="4" s="1"/>
  <c r="K69" i="4" a="1"/>
  <c r="K69" i="4" s="1"/>
  <c r="K68" i="4" a="1"/>
  <c r="K68" i="4" s="1"/>
  <c r="K67" i="4" a="1"/>
  <c r="K67" i="4" s="1"/>
  <c r="K66" i="4" a="1"/>
  <c r="K66" i="4" s="1"/>
  <c r="K65" i="4" a="1"/>
  <c r="K65" i="4" s="1"/>
  <c r="K64" i="4" a="1"/>
  <c r="K64" i="4" s="1"/>
  <c r="K63" i="4" a="1"/>
  <c r="K63" i="4" s="1"/>
  <c r="K62" i="4" a="1"/>
  <c r="K62" i="4" s="1"/>
  <c r="K61" i="4" a="1"/>
  <c r="K61" i="4" s="1"/>
  <c r="K60" i="4" a="1"/>
  <c r="K60" i="4" s="1"/>
  <c r="K59" i="4" a="1"/>
  <c r="K59" i="4" s="1"/>
  <c r="K58" i="4" a="1"/>
  <c r="K58" i="4" s="1"/>
  <c r="K57" i="4" a="1"/>
  <c r="K57" i="4" s="1"/>
  <c r="K56" i="4" a="1"/>
  <c r="K56" i="4" s="1"/>
  <c r="K55" i="4" a="1"/>
  <c r="K55" i="4" s="1"/>
  <c r="K54" i="4" a="1"/>
  <c r="K54" i="4" s="1"/>
  <c r="K53" i="4" a="1"/>
  <c r="K53" i="4" s="1"/>
  <c r="K52" i="4" a="1"/>
  <c r="K52" i="4" s="1"/>
  <c r="K51" i="4" a="1"/>
  <c r="K51" i="4" s="1"/>
  <c r="K50" i="4" a="1"/>
  <c r="K50" i="4" s="1"/>
  <c r="K49" i="4" a="1"/>
  <c r="K49" i="4" s="1"/>
  <c r="K48" i="4" a="1"/>
  <c r="K48" i="4" s="1"/>
  <c r="K47" i="4" a="1"/>
  <c r="K47" i="4" s="1"/>
  <c r="K46" i="4" a="1"/>
  <c r="K46" i="4" s="1"/>
  <c r="K45" i="4" a="1"/>
  <c r="K45" i="4" s="1"/>
  <c r="K44" i="4" a="1"/>
  <c r="K44" i="4" s="1"/>
  <c r="K43" i="4" a="1"/>
  <c r="K43" i="4" s="1"/>
  <c r="K42" i="4" a="1"/>
  <c r="K42" i="4" s="1"/>
  <c r="K41" i="4" a="1"/>
  <c r="K41" i="4" s="1"/>
  <c r="K40" i="4" a="1"/>
  <c r="K40" i="4" s="1"/>
  <c r="K39" i="4" a="1"/>
  <c r="K39" i="4" s="1"/>
  <c r="K38" i="4" a="1"/>
  <c r="K38" i="4" s="1"/>
  <c r="K37" i="4" a="1"/>
  <c r="K37" i="4" s="1"/>
  <c r="K36" i="4" a="1"/>
  <c r="K36" i="4" s="1"/>
  <c r="K35" i="4" a="1"/>
  <c r="K35" i="4" s="1"/>
  <c r="K34" i="4" a="1"/>
  <c r="K34" i="4" s="1"/>
  <c r="K33" i="4" a="1"/>
  <c r="K33" i="4" s="1"/>
  <c r="K32" i="4" a="1"/>
  <c r="K32" i="4" s="1"/>
  <c r="K31" i="4" a="1"/>
  <c r="K31" i="4" s="1"/>
  <c r="K30" i="4" a="1"/>
  <c r="K30" i="4" s="1"/>
  <c r="K29" i="4" a="1"/>
  <c r="K29" i="4" s="1"/>
  <c r="K28" i="4" a="1"/>
  <c r="K28" i="4" s="1"/>
  <c r="K27" i="4" a="1"/>
  <c r="K27" i="4" s="1"/>
  <c r="K26" i="4" a="1"/>
  <c r="K26" i="4" s="1"/>
  <c r="K25" i="4" a="1"/>
  <c r="K25" i="4" s="1"/>
  <c r="K24" i="4" a="1"/>
  <c r="K24" i="4" s="1"/>
  <c r="K23" i="4" a="1"/>
  <c r="K23" i="4" s="1"/>
  <c r="K22" i="4" a="1"/>
  <c r="K22" i="4" s="1"/>
  <c r="K21" i="4" a="1"/>
  <c r="K21" i="4" s="1"/>
  <c r="K20" i="4" a="1"/>
  <c r="K20" i="4" s="1"/>
  <c r="K19" i="4" a="1"/>
  <c r="K19" i="4" s="1"/>
  <c r="K18" i="4" a="1"/>
  <c r="K18" i="4" s="1"/>
  <c r="K17" i="4" a="1"/>
  <c r="K17" i="4" s="1"/>
  <c r="K16" i="4" a="1"/>
  <c r="K16" i="4" s="1"/>
  <c r="K15" i="4" a="1"/>
  <c r="K15" i="4" s="1"/>
  <c r="K14" i="4" a="1"/>
  <c r="K14" i="4" s="1"/>
  <c r="K13" i="4" a="1"/>
  <c r="K13" i="4" s="1"/>
  <c r="K12" i="4" a="1"/>
  <c r="K12" i="4" s="1"/>
  <c r="K11" i="4" a="1"/>
  <c r="K11" i="4" s="1"/>
  <c r="K10" i="4" a="1"/>
  <c r="K10" i="4" s="1"/>
  <c r="K9" i="4" a="1"/>
  <c r="K9" i="4" s="1"/>
  <c r="K8" i="4" a="1"/>
  <c r="K8" i="4" s="1"/>
  <c r="K7" i="4" a="1"/>
  <c r="K7" i="4" s="1"/>
  <c r="K6" i="4" a="1"/>
  <c r="K6" i="4" s="1"/>
  <c r="K5" i="4" a="1"/>
  <c r="K5" i="4" s="1"/>
  <c r="K4" i="4" a="1"/>
  <c r="K4" i="4" s="1"/>
  <c r="K3" i="4" a="1"/>
  <c r="K3" i="4" s="1"/>
  <c r="G13" i="4"/>
  <c r="G12" i="4" s="1"/>
  <c r="H12" i="4" s="1" a="1"/>
  <c r="H12" i="4" s="1"/>
  <c r="L122" i="4" a="1"/>
  <c r="L122" i="4" s="1"/>
  <c r="H122" i="4" a="1"/>
  <c r="H122" i="4" s="1"/>
  <c r="L121" i="4" a="1"/>
  <c r="L121" i="4" s="1"/>
  <c r="H121" i="4" a="1"/>
  <c r="H121" i="4" s="1"/>
  <c r="L120" i="4" a="1"/>
  <c r="L120" i="4" s="1"/>
  <c r="H120" i="4" a="1"/>
  <c r="H120" i="4" s="1"/>
  <c r="L119" i="4" a="1"/>
  <c r="L119" i="4" s="1"/>
  <c r="H119" i="4" a="1"/>
  <c r="H119" i="4" s="1"/>
  <c r="L118" i="4" a="1"/>
  <c r="L118" i="4" s="1"/>
  <c r="H118" i="4" a="1"/>
  <c r="H118" i="4" s="1"/>
  <c r="L117" i="4" a="1"/>
  <c r="L117" i="4" s="1"/>
  <c r="H117" i="4" a="1"/>
  <c r="H117" i="4" s="1"/>
  <c r="L116" i="4" a="1"/>
  <c r="L116" i="4" s="1"/>
  <c r="H116" i="4" a="1"/>
  <c r="H116" i="4" s="1"/>
  <c r="L115" i="4" a="1"/>
  <c r="L115" i="4" s="1"/>
  <c r="H115" i="4" a="1"/>
  <c r="H115" i="4" s="1"/>
  <c r="L114" i="4" a="1"/>
  <c r="L114" i="4" s="1"/>
  <c r="H114" i="4" a="1"/>
  <c r="H114" i="4" s="1"/>
  <c r="L113" i="4" a="1"/>
  <c r="L113" i="4" s="1"/>
  <c r="H113" i="4" a="1"/>
  <c r="H113" i="4" s="1"/>
  <c r="L112" i="4" a="1"/>
  <c r="L112" i="4" s="1"/>
  <c r="H112" i="4" a="1"/>
  <c r="H112" i="4" s="1"/>
  <c r="L111" i="4" a="1"/>
  <c r="L111" i="4" s="1"/>
  <c r="H111" i="4" a="1"/>
  <c r="H111" i="4" s="1"/>
  <c r="L110" i="4" a="1"/>
  <c r="L110" i="4" s="1"/>
  <c r="H110" i="4" a="1"/>
  <c r="H110" i="4" s="1"/>
  <c r="L109" i="4" a="1"/>
  <c r="L109" i="4" s="1"/>
  <c r="H109" i="4" a="1"/>
  <c r="H109" i="4" s="1"/>
  <c r="L108" i="4" a="1"/>
  <c r="L108" i="4" s="1"/>
  <c r="H108" i="4" a="1"/>
  <c r="H108" i="4" s="1"/>
  <c r="L107" i="4" a="1"/>
  <c r="L107" i="4" s="1"/>
  <c r="H107" i="4" a="1"/>
  <c r="H107" i="4" s="1"/>
  <c r="L106" i="4" a="1"/>
  <c r="L106" i="4" s="1"/>
  <c r="H106" i="4" a="1"/>
  <c r="H106" i="4" s="1"/>
  <c r="L105" i="4" a="1"/>
  <c r="L105" i="4" s="1"/>
  <c r="H105" i="4" a="1"/>
  <c r="H105" i="4" s="1"/>
  <c r="L104" i="4" a="1"/>
  <c r="L104" i="4" s="1"/>
  <c r="H104" i="4" a="1"/>
  <c r="H104" i="4" s="1"/>
  <c r="L103" i="4" a="1"/>
  <c r="L103" i="4" s="1"/>
  <c r="H103" i="4" a="1"/>
  <c r="H103" i="4" s="1"/>
  <c r="L102" i="4" a="1"/>
  <c r="L102" i="4" s="1"/>
  <c r="H102" i="4" a="1"/>
  <c r="H102" i="4" s="1"/>
  <c r="L101" i="4" a="1"/>
  <c r="L101" i="4" s="1"/>
  <c r="H101" i="4" a="1"/>
  <c r="H101" i="4" s="1"/>
  <c r="L100" i="4" a="1"/>
  <c r="L100" i="4" s="1"/>
  <c r="H100" i="4" a="1"/>
  <c r="H100" i="4" s="1"/>
  <c r="L99" i="4" a="1"/>
  <c r="L99" i="4" s="1"/>
  <c r="H99" i="4" a="1"/>
  <c r="H99" i="4" s="1"/>
  <c r="L98" i="4" a="1"/>
  <c r="L98" i="4" s="1"/>
  <c r="H98" i="4" a="1"/>
  <c r="H98" i="4" s="1"/>
  <c r="L97" i="4" a="1"/>
  <c r="L97" i="4" s="1"/>
  <c r="H97" i="4" a="1"/>
  <c r="H97" i="4" s="1"/>
  <c r="L96" i="4" a="1"/>
  <c r="L96" i="4" s="1"/>
  <c r="H96" i="4" a="1"/>
  <c r="H96" i="4" s="1"/>
  <c r="L95" i="4" a="1"/>
  <c r="L95" i="4" s="1"/>
  <c r="H95" i="4" a="1"/>
  <c r="H95" i="4" s="1"/>
  <c r="L94" i="4" a="1"/>
  <c r="L94" i="4" s="1"/>
  <c r="H94" i="4" a="1"/>
  <c r="H94" i="4" s="1"/>
  <c r="L93" i="4" a="1"/>
  <c r="L93" i="4" s="1"/>
  <c r="H93" i="4" a="1"/>
  <c r="H93" i="4" s="1"/>
  <c r="L92" i="4" a="1"/>
  <c r="L92" i="4" s="1"/>
  <c r="H92" i="4" a="1"/>
  <c r="H92" i="4" s="1"/>
  <c r="L91" i="4" a="1"/>
  <c r="L91" i="4" s="1"/>
  <c r="H91" i="4" a="1"/>
  <c r="H91" i="4" s="1"/>
  <c r="L90" i="4" a="1"/>
  <c r="L90" i="4" s="1"/>
  <c r="H90" i="4" a="1"/>
  <c r="H90" i="4" s="1"/>
  <c r="L89" i="4" a="1"/>
  <c r="L89" i="4" s="1"/>
  <c r="H89" i="4" a="1"/>
  <c r="H89" i="4" s="1"/>
  <c r="L88" i="4" a="1"/>
  <c r="L88" i="4" s="1"/>
  <c r="H88" i="4" a="1"/>
  <c r="H88" i="4" s="1"/>
  <c r="L87" i="4" a="1"/>
  <c r="L87" i="4" s="1"/>
  <c r="H87" i="4" a="1"/>
  <c r="H87" i="4" s="1"/>
  <c r="L86" i="4" a="1"/>
  <c r="L86" i="4" s="1"/>
  <c r="H86" i="4" a="1"/>
  <c r="H86" i="4" s="1"/>
  <c r="L85" i="4" a="1"/>
  <c r="L85" i="4" s="1"/>
  <c r="H85" i="4" a="1"/>
  <c r="H85" i="4" s="1"/>
  <c r="L84" i="4" a="1"/>
  <c r="L84" i="4" s="1"/>
  <c r="H84" i="4" a="1"/>
  <c r="H84" i="4" s="1"/>
  <c r="L83" i="4" a="1"/>
  <c r="L83" i="4" s="1"/>
  <c r="H83" i="4" a="1"/>
  <c r="H83" i="4" s="1"/>
  <c r="L82" i="4" a="1"/>
  <c r="L82" i="4" s="1"/>
  <c r="H82" i="4" a="1"/>
  <c r="H82" i="4" s="1"/>
  <c r="L81" i="4" a="1"/>
  <c r="L81" i="4" s="1"/>
  <c r="H81" i="4" a="1"/>
  <c r="H81" i="4" s="1"/>
  <c r="L80" i="4" a="1"/>
  <c r="L80" i="4" s="1"/>
  <c r="H80" i="4" a="1"/>
  <c r="H80" i="4" s="1"/>
  <c r="L79" i="4" a="1"/>
  <c r="L79" i="4" s="1"/>
  <c r="H79" i="4" a="1"/>
  <c r="H79" i="4" s="1"/>
  <c r="L78" i="4" a="1"/>
  <c r="L78" i="4" s="1"/>
  <c r="H78" i="4" a="1"/>
  <c r="H78" i="4" s="1"/>
  <c r="L77" i="4" a="1"/>
  <c r="L77" i="4" s="1"/>
  <c r="H77" i="4" a="1"/>
  <c r="H77" i="4" s="1"/>
  <c r="L76" i="4" a="1"/>
  <c r="L76" i="4" s="1"/>
  <c r="H76" i="4" a="1"/>
  <c r="H76" i="4" s="1"/>
  <c r="L75" i="4" a="1"/>
  <c r="L75" i="4" s="1"/>
  <c r="H75" i="4" a="1"/>
  <c r="H75" i="4" s="1"/>
  <c r="L74" i="4" a="1"/>
  <c r="L74" i="4" s="1"/>
  <c r="H74" i="4" a="1"/>
  <c r="H74" i="4" s="1"/>
  <c r="L73" i="4" a="1"/>
  <c r="L73" i="4" s="1"/>
  <c r="H73" i="4" a="1"/>
  <c r="H73" i="4" s="1"/>
  <c r="L72" i="4" a="1"/>
  <c r="L72" i="4" s="1"/>
  <c r="H72" i="4" a="1"/>
  <c r="H72" i="4" s="1"/>
  <c r="L71" i="4" a="1"/>
  <c r="L71" i="4" s="1"/>
  <c r="H71" i="4" a="1"/>
  <c r="H71" i="4" s="1"/>
  <c r="L70" i="4" a="1"/>
  <c r="L70" i="4" s="1"/>
  <c r="H70" i="4" a="1"/>
  <c r="H70" i="4" s="1"/>
  <c r="L69" i="4" a="1"/>
  <c r="L69" i="4" s="1"/>
  <c r="H69" i="4" a="1"/>
  <c r="H69" i="4" s="1"/>
  <c r="L68" i="4" a="1"/>
  <c r="L68" i="4" s="1"/>
  <c r="H68" i="4" a="1"/>
  <c r="H68" i="4" s="1"/>
  <c r="L67" i="4" a="1"/>
  <c r="L67" i="4" s="1"/>
  <c r="H67" i="4" a="1"/>
  <c r="H67" i="4" s="1"/>
  <c r="L66" i="4" a="1"/>
  <c r="L66" i="4" s="1"/>
  <c r="H66" i="4" a="1"/>
  <c r="H66" i="4" s="1"/>
  <c r="L65" i="4" a="1"/>
  <c r="L65" i="4" s="1"/>
  <c r="H65" i="4" a="1"/>
  <c r="H65" i="4" s="1"/>
  <c r="L64" i="4" a="1"/>
  <c r="L64" i="4" s="1"/>
  <c r="H64" i="4" a="1"/>
  <c r="H64" i="4" s="1"/>
  <c r="L63" i="4" a="1"/>
  <c r="L63" i="4" s="1"/>
  <c r="H63" i="4" a="1"/>
  <c r="H63" i="4" s="1"/>
  <c r="L62" i="4" a="1"/>
  <c r="L62" i="4" s="1"/>
  <c r="H62" i="4" a="1"/>
  <c r="H62" i="4" s="1"/>
  <c r="L61" i="4" a="1"/>
  <c r="L61" i="4" s="1"/>
  <c r="H61" i="4" a="1"/>
  <c r="H61" i="4" s="1"/>
  <c r="L60" i="4" a="1"/>
  <c r="L60" i="4" s="1"/>
  <c r="H60" i="4" a="1"/>
  <c r="H60" i="4" s="1"/>
  <c r="L59" i="4" a="1"/>
  <c r="L59" i="4" s="1"/>
  <c r="H59" i="4" a="1"/>
  <c r="H59" i="4" s="1"/>
  <c r="L58" i="4" a="1"/>
  <c r="L58" i="4" s="1"/>
  <c r="H58" i="4" a="1"/>
  <c r="H58" i="4" s="1"/>
  <c r="L57" i="4" a="1"/>
  <c r="L57" i="4" s="1"/>
  <c r="H57" i="4" a="1"/>
  <c r="H57" i="4" s="1"/>
  <c r="L56" i="4" a="1"/>
  <c r="L56" i="4" s="1"/>
  <c r="H56" i="4" a="1"/>
  <c r="H56" i="4" s="1"/>
  <c r="L55" i="4" a="1"/>
  <c r="L55" i="4" s="1"/>
  <c r="H55" i="4" a="1"/>
  <c r="H55" i="4" s="1"/>
  <c r="L54" i="4" a="1"/>
  <c r="L54" i="4" s="1"/>
  <c r="H54" i="4" a="1"/>
  <c r="H54" i="4" s="1"/>
  <c r="L53" i="4" a="1"/>
  <c r="L53" i="4" s="1"/>
  <c r="H53" i="4" a="1"/>
  <c r="H53" i="4" s="1"/>
  <c r="L52" i="4" a="1"/>
  <c r="L52" i="4" s="1"/>
  <c r="H52" i="4" a="1"/>
  <c r="H52" i="4" s="1"/>
  <c r="L51" i="4" a="1"/>
  <c r="L51" i="4" s="1"/>
  <c r="H51" i="4" a="1"/>
  <c r="H51" i="4" s="1"/>
  <c r="L50" i="4" a="1"/>
  <c r="L50" i="4" s="1"/>
  <c r="H50" i="4" a="1"/>
  <c r="H50" i="4" s="1"/>
  <c r="L49" i="4" a="1"/>
  <c r="L49" i="4" s="1"/>
  <c r="H49" i="4" a="1"/>
  <c r="H49" i="4" s="1"/>
  <c r="L48" i="4" a="1"/>
  <c r="L48" i="4" s="1"/>
  <c r="H48" i="4" a="1"/>
  <c r="H48" i="4" s="1"/>
  <c r="L47" i="4" a="1"/>
  <c r="L47" i="4" s="1"/>
  <c r="H47" i="4" a="1"/>
  <c r="H47" i="4" s="1"/>
  <c r="L46" i="4" a="1"/>
  <c r="L46" i="4" s="1"/>
  <c r="H46" i="4" a="1"/>
  <c r="H46" i="4" s="1"/>
  <c r="L45" i="4" a="1"/>
  <c r="L45" i="4" s="1"/>
  <c r="H45" i="4" a="1"/>
  <c r="H45" i="4" s="1"/>
  <c r="L44" i="4" a="1"/>
  <c r="L44" i="4" s="1"/>
  <c r="H44" i="4" a="1"/>
  <c r="H44" i="4" s="1"/>
  <c r="L43" i="4" a="1"/>
  <c r="L43" i="4" s="1"/>
  <c r="H43" i="4" a="1"/>
  <c r="H43" i="4" s="1"/>
  <c r="L42" i="4" a="1"/>
  <c r="L42" i="4" s="1"/>
  <c r="H42" i="4" a="1"/>
  <c r="H42" i="4" s="1"/>
  <c r="L41" i="4" a="1"/>
  <c r="L41" i="4" s="1"/>
  <c r="H41" i="4" a="1"/>
  <c r="H41" i="4" s="1"/>
  <c r="L40" i="4" a="1"/>
  <c r="L40" i="4" s="1"/>
  <c r="H40" i="4" a="1"/>
  <c r="H40" i="4" s="1"/>
  <c r="L39" i="4" a="1"/>
  <c r="L39" i="4" s="1"/>
  <c r="H39" i="4" a="1"/>
  <c r="H39" i="4" s="1"/>
  <c r="L38" i="4" a="1"/>
  <c r="L38" i="4" s="1"/>
  <c r="H38" i="4" a="1"/>
  <c r="H38" i="4" s="1"/>
  <c r="L37" i="4" a="1"/>
  <c r="L37" i="4" s="1"/>
  <c r="H37" i="4" a="1"/>
  <c r="H37" i="4" s="1"/>
  <c r="L36" i="4" a="1"/>
  <c r="L36" i="4" s="1"/>
  <c r="H36" i="4" a="1"/>
  <c r="H36" i="4" s="1"/>
  <c r="L35" i="4" a="1"/>
  <c r="L35" i="4" s="1"/>
  <c r="H35" i="4" a="1"/>
  <c r="H35" i="4" s="1"/>
  <c r="L34" i="4" a="1"/>
  <c r="L34" i="4" s="1"/>
  <c r="H34" i="4" a="1"/>
  <c r="H34" i="4" s="1"/>
  <c r="L33" i="4" a="1"/>
  <c r="L33" i="4" s="1"/>
  <c r="H33" i="4" a="1"/>
  <c r="H33" i="4" s="1"/>
  <c r="L32" i="4" a="1"/>
  <c r="L32" i="4" s="1"/>
  <c r="H32" i="4" a="1"/>
  <c r="H32" i="4" s="1"/>
  <c r="L31" i="4" a="1"/>
  <c r="L31" i="4" s="1"/>
  <c r="H31" i="4" a="1"/>
  <c r="H31" i="4" s="1"/>
  <c r="L30" i="4" a="1"/>
  <c r="L30" i="4" s="1"/>
  <c r="H30" i="4" a="1"/>
  <c r="H30" i="4" s="1"/>
  <c r="L29" i="4" a="1"/>
  <c r="L29" i="4" s="1"/>
  <c r="H29" i="4" a="1"/>
  <c r="H29" i="4" s="1"/>
  <c r="L28" i="4" a="1"/>
  <c r="L28" i="4" s="1"/>
  <c r="H28" i="4" a="1"/>
  <c r="H28" i="4" s="1"/>
  <c r="L27" i="4" a="1"/>
  <c r="L27" i="4" s="1"/>
  <c r="H27" i="4" a="1"/>
  <c r="H27" i="4" s="1"/>
  <c r="L26" i="4" a="1"/>
  <c r="L26" i="4" s="1"/>
  <c r="H26" i="4" a="1"/>
  <c r="H26" i="4" s="1"/>
  <c r="L25" i="4" a="1"/>
  <c r="L25" i="4" s="1"/>
  <c r="H25" i="4" a="1"/>
  <c r="H25" i="4" s="1"/>
  <c r="L24" i="4" a="1"/>
  <c r="L24" i="4" s="1"/>
  <c r="H24" i="4" a="1"/>
  <c r="H24" i="4" s="1"/>
  <c r="L23" i="4" a="1"/>
  <c r="L23" i="4" s="1"/>
  <c r="H23" i="4" a="1"/>
  <c r="H23" i="4" s="1"/>
  <c r="L22" i="4" a="1"/>
  <c r="L22" i="4" s="1"/>
  <c r="H22" i="4" a="1"/>
  <c r="H22" i="4" s="1"/>
  <c r="L21" i="4" a="1"/>
  <c r="L21" i="4" s="1"/>
  <c r="H21" i="4" a="1"/>
  <c r="H21" i="4" s="1"/>
  <c r="L20" i="4" a="1"/>
  <c r="L20" i="4" s="1"/>
  <c r="H20" i="4" a="1"/>
  <c r="H20" i="4" s="1"/>
  <c r="L19" i="4" a="1"/>
  <c r="L19" i="4" s="1"/>
  <c r="H19" i="4" a="1"/>
  <c r="H19" i="4" s="1"/>
  <c r="L18" i="4" a="1"/>
  <c r="L18" i="4" s="1"/>
  <c r="H18" i="4" a="1"/>
  <c r="H18" i="4" s="1"/>
  <c r="L17" i="4" a="1"/>
  <c r="L17" i="4" s="1"/>
  <c r="H17" i="4" a="1"/>
  <c r="H17" i="4" s="1"/>
  <c r="L16" i="4" a="1"/>
  <c r="L16" i="4" s="1"/>
  <c r="H16" i="4" a="1"/>
  <c r="H16" i="4" s="1"/>
  <c r="L15" i="4" a="1"/>
  <c r="L15" i="4" s="1"/>
  <c r="H15" i="4" a="1"/>
  <c r="H15" i="4" s="1"/>
  <c r="L14" i="4" a="1"/>
  <c r="L14" i="4" s="1"/>
  <c r="H14" i="4" a="1"/>
  <c r="H14" i="4" s="1"/>
  <c r="L13" i="4" a="1"/>
  <c r="L13" i="4" s="1"/>
  <c r="L12" i="4" a="1"/>
  <c r="L12" i="4" s="1"/>
  <c r="L11" i="4" a="1"/>
  <c r="L11" i="4" s="1"/>
  <c r="H11" i="4" a="1"/>
  <c r="H11" i="4" s="1"/>
  <c r="L10" i="4" a="1"/>
  <c r="L10" i="4" s="1"/>
  <c r="H10" i="4" a="1"/>
  <c r="H10" i="4" s="1"/>
  <c r="L9" i="4" a="1"/>
  <c r="L9" i="4" s="1"/>
  <c r="H9" i="4" a="1"/>
  <c r="H9" i="4" s="1"/>
  <c r="L8" i="4" a="1"/>
  <c r="L8" i="4" s="1"/>
  <c r="H8" i="4" a="1"/>
  <c r="H8" i="4" s="1"/>
  <c r="L7" i="4" a="1"/>
  <c r="L7" i="4" s="1"/>
  <c r="H7" i="4" a="1"/>
  <c r="H7" i="4" s="1"/>
  <c r="L6" i="4" a="1"/>
  <c r="L6" i="4" s="1"/>
  <c r="H6" i="4" a="1"/>
  <c r="H6" i="4" s="1"/>
  <c r="L5" i="4" a="1"/>
  <c r="L5" i="4" s="1"/>
  <c r="H5" i="4" a="1"/>
  <c r="H5" i="4" s="1"/>
  <c r="L4" i="4" a="1"/>
  <c r="L4" i="4" s="1"/>
  <c r="H4" i="4" a="1"/>
  <c r="H4" i="4" s="1"/>
  <c r="L3" i="4" a="1"/>
  <c r="L3" i="4" s="1"/>
  <c r="H3" i="4" a="1"/>
  <c r="H3" i="4" s="1"/>
  <c r="I3" i="4" s="1"/>
  <c r="H40" i="3" a="1"/>
  <c r="H40" i="3" s="1"/>
  <c r="H39" i="3" a="1"/>
  <c r="H39" i="3" s="1"/>
  <c r="I39" i="3" s="1"/>
  <c r="H38" i="3" a="1"/>
  <c r="H38" i="3" s="1"/>
  <c r="I38" i="3" s="1"/>
  <c r="H37" i="3" a="1"/>
  <c r="H37" i="3" s="1"/>
  <c r="I37" i="3" s="1"/>
  <c r="H36" i="3" a="1"/>
  <c r="H36" i="3" s="1"/>
  <c r="I36" i="3" s="1"/>
  <c r="H35" i="3" a="1"/>
  <c r="H35" i="3" s="1"/>
  <c r="I35" i="3" s="1"/>
  <c r="H34" i="3" a="1"/>
  <c r="H34" i="3" s="1"/>
  <c r="I34" i="3" s="1"/>
  <c r="H33" i="3" a="1"/>
  <c r="H33" i="3" s="1"/>
  <c r="I33" i="3" s="1"/>
  <c r="H32" i="3" a="1"/>
  <c r="H32" i="3" s="1"/>
  <c r="I32" i="3" s="1"/>
  <c r="H31" i="3" a="1"/>
  <c r="H31" i="3" s="1"/>
  <c r="I31" i="3" s="1"/>
  <c r="H30" i="3" a="1"/>
  <c r="H30" i="3" s="1"/>
  <c r="I30" i="3" s="1"/>
  <c r="H29" i="3" a="1"/>
  <c r="H29" i="3" s="1"/>
  <c r="I29" i="3" s="1"/>
  <c r="H28" i="3" a="1"/>
  <c r="H28" i="3" s="1"/>
  <c r="I28" i="3" s="1"/>
  <c r="H27" i="3" a="1"/>
  <c r="H27" i="3" s="1"/>
  <c r="I27" i="3" s="1"/>
  <c r="H26" i="3" a="1"/>
  <c r="H26" i="3" s="1"/>
  <c r="I26" i="3" s="1"/>
  <c r="H25" i="3" a="1"/>
  <c r="H25" i="3" s="1"/>
  <c r="I25" i="3" s="1"/>
  <c r="H24" i="3" a="1"/>
  <c r="H24" i="3" s="1"/>
  <c r="I24" i="3" s="1"/>
  <c r="H23" i="3" a="1"/>
  <c r="H23" i="3" s="1"/>
  <c r="I23" i="3" s="1"/>
  <c r="H22" i="3" a="1"/>
  <c r="H22" i="3" s="1"/>
  <c r="I22" i="3" s="1"/>
  <c r="H21" i="3" a="1"/>
  <c r="H21" i="3" s="1"/>
  <c r="H20" i="3" a="1"/>
  <c r="H20" i="3" s="1"/>
  <c r="I20" i="3" s="1"/>
  <c r="H19" i="3" a="1"/>
  <c r="H19" i="3" s="1"/>
  <c r="I19" i="3" s="1"/>
  <c r="H18" i="3" a="1"/>
  <c r="H18" i="3" s="1"/>
  <c r="I18" i="3" s="1"/>
  <c r="H17" i="3" a="1"/>
  <c r="H17" i="3" s="1"/>
  <c r="I17" i="3" s="1"/>
  <c r="H16" i="3" a="1"/>
  <c r="H16" i="3" s="1"/>
  <c r="I16" i="3" s="1"/>
  <c r="H15" i="3" a="1"/>
  <c r="H15" i="3" s="1"/>
  <c r="I15" i="3" s="1"/>
  <c r="H14" i="3" a="1"/>
  <c r="H14" i="3" s="1"/>
  <c r="I14" i="3" s="1"/>
  <c r="H13" i="3" a="1"/>
  <c r="H13" i="3" s="1"/>
  <c r="I13" i="3" s="1"/>
  <c r="H12" i="3" a="1"/>
  <c r="H12" i="3" s="1"/>
  <c r="I12" i="3" s="1"/>
  <c r="H11" i="3" a="1"/>
  <c r="H11" i="3" s="1"/>
  <c r="I11" i="3" s="1"/>
  <c r="H10" i="3" a="1"/>
  <c r="H10" i="3" s="1"/>
  <c r="I10" i="3" s="1"/>
  <c r="H9" i="3" a="1"/>
  <c r="H9" i="3" s="1"/>
  <c r="I9" i="3" s="1"/>
  <c r="H8" i="3" a="1"/>
  <c r="H8" i="3" s="1"/>
  <c r="I8" i="3" s="1"/>
  <c r="H7" i="3" a="1"/>
  <c r="H7" i="3" s="1"/>
  <c r="I7" i="3" s="1"/>
  <c r="H6" i="3" a="1"/>
  <c r="H6" i="3" s="1"/>
  <c r="I6" i="3" s="1"/>
  <c r="H5" i="3" a="1"/>
  <c r="H5" i="3" s="1"/>
  <c r="I5" i="3" s="1"/>
  <c r="H4" i="3" a="1"/>
  <c r="H4" i="3" s="1"/>
  <c r="H3" i="3" a="1"/>
  <c r="H3" i="3" s="1"/>
  <c r="I3" i="3" s="1"/>
  <c r="H2" i="3" a="1"/>
  <c r="H2" i="3" s="1"/>
  <c r="I2" i="3" s="1"/>
  <c r="G64" i="2"/>
  <c r="I64" i="2" s="1"/>
  <c r="H65" i="2"/>
  <c r="I65" i="2"/>
  <c r="F65" i="2"/>
  <c r="H64" i="2"/>
  <c r="F64" i="2"/>
  <c r="F57" i="2"/>
  <c r="F32" i="2"/>
  <c r="H34" i="2"/>
  <c r="I34" i="2" s="1"/>
  <c r="H33" i="2"/>
  <c r="I33" i="2" s="1"/>
  <c r="H32" i="2"/>
  <c r="I32" i="2" s="1"/>
  <c r="H30" i="2"/>
  <c r="I30" i="2" s="1"/>
  <c r="F30" i="2"/>
  <c r="H29" i="2"/>
  <c r="I29" i="2" s="1"/>
  <c r="F29" i="2"/>
  <c r="H28" i="2"/>
  <c r="I28" i="2" s="1"/>
  <c r="F28" i="2"/>
  <c r="G11" i="2"/>
  <c r="I11" i="2" s="1"/>
  <c r="E9" i="2"/>
  <c r="F9" i="2" s="1"/>
  <c r="E6" i="2"/>
  <c r="F6" i="2" s="1"/>
  <c r="E5" i="2" a="1"/>
  <c r="E5" i="2" s="1"/>
  <c r="F5" i="2" s="1"/>
  <c r="H6" i="2"/>
  <c r="I6" i="2" s="1"/>
  <c r="B24" i="1" a="1"/>
  <c r="B24" i="1" s="1"/>
  <c r="B23" i="1" a="1"/>
  <c r="B23" i="1" s="1"/>
  <c r="B26" i="1" a="1"/>
  <c r="B26" i="1" s="1"/>
  <c r="B22" i="1" a="1"/>
  <c r="B22" i="1" s="1"/>
  <c r="B21" i="1" a="1"/>
  <c r="B21" i="1" s="1"/>
  <c r="B20" i="1" a="1"/>
  <c r="B20" i="1" s="1"/>
  <c r="B25" i="1" a="1"/>
  <c r="B25" i="1" s="1"/>
  <c r="D7" i="9"/>
  <c r="B7" i="9"/>
  <c r="B6" i="9"/>
  <c r="D5" i="9"/>
  <c r="B5" i="9"/>
  <c r="B2" i="9"/>
  <c r="B4" i="9" s="1"/>
  <c r="H21" i="6"/>
  <c r="J21" i="6" s="1"/>
  <c r="G21" i="6"/>
  <c r="H18" i="6"/>
  <c r="J18" i="6" s="1"/>
  <c r="I17" i="6"/>
  <c r="H17" i="6"/>
  <c r="J17" i="6" s="1"/>
  <c r="G17" i="6"/>
  <c r="I16" i="6"/>
  <c r="H16" i="6"/>
  <c r="G16" i="6"/>
  <c r="I15" i="6"/>
  <c r="H15" i="6"/>
  <c r="J15" i="6" s="1"/>
  <c r="G15" i="6"/>
  <c r="H14" i="6"/>
  <c r="J14" i="6" s="1"/>
  <c r="D14" i="6"/>
  <c r="D18" i="6" s="1"/>
  <c r="G18" i="6" s="1"/>
  <c r="C14" i="6"/>
  <c r="C18" i="6" s="1"/>
  <c r="B14" i="6"/>
  <c r="B18" i="6" s="1"/>
  <c r="I13" i="6"/>
  <c r="H13" i="6"/>
  <c r="G13" i="6"/>
  <c r="I12" i="6"/>
  <c r="H12" i="6"/>
  <c r="J12" i="6" s="1"/>
  <c r="G12" i="6"/>
  <c r="I11" i="6"/>
  <c r="H11" i="6"/>
  <c r="J11" i="6" s="1"/>
  <c r="G11" i="6"/>
  <c r="I10" i="6"/>
  <c r="H10" i="6"/>
  <c r="J10" i="6" s="1"/>
  <c r="G10" i="6"/>
  <c r="I8" i="6"/>
  <c r="H8" i="6"/>
  <c r="G8" i="6"/>
  <c r="I7" i="6"/>
  <c r="H7" i="6"/>
  <c r="G7" i="6"/>
  <c r="I6" i="6"/>
  <c r="H6" i="6"/>
  <c r="G6" i="6"/>
  <c r="I5" i="6"/>
  <c r="H5" i="6"/>
  <c r="J5" i="6" s="1"/>
  <c r="C5" i="6"/>
  <c r="D5" i="6" s="1"/>
  <c r="G5" i="6" s="1"/>
  <c r="I4" i="6"/>
  <c r="H4" i="6"/>
  <c r="G4" i="6"/>
  <c r="K13" i="5"/>
  <c r="M13" i="5" s="1"/>
  <c r="G13" i="5"/>
  <c r="L12" i="5"/>
  <c r="K12" i="5"/>
  <c r="M12" i="5" s="1"/>
  <c r="G12" i="5"/>
  <c r="L11" i="5"/>
  <c r="K11" i="5"/>
  <c r="M11" i="5" s="1"/>
  <c r="G11" i="5"/>
  <c r="L10" i="5"/>
  <c r="K10" i="5"/>
  <c r="M10" i="5" s="1"/>
  <c r="G10" i="5"/>
  <c r="L9" i="5"/>
  <c r="K9" i="5"/>
  <c r="M9" i="5" s="1"/>
  <c r="G9" i="5"/>
  <c r="L8" i="5"/>
  <c r="K8" i="5"/>
  <c r="M8" i="5" s="1"/>
  <c r="G8" i="5"/>
  <c r="L7" i="5"/>
  <c r="K7" i="5"/>
  <c r="M7" i="5" s="1"/>
  <c r="G7" i="5"/>
  <c r="K6" i="5"/>
  <c r="M6" i="5" s="1"/>
  <c r="G6" i="5"/>
  <c r="L5" i="5"/>
  <c r="K5" i="5"/>
  <c r="M5" i="5" s="1"/>
  <c r="G5" i="5"/>
  <c r="L4" i="5"/>
  <c r="K4" i="5"/>
  <c r="M4" i="5" s="1"/>
  <c r="G4" i="5"/>
  <c r="L3" i="5"/>
  <c r="K3" i="5"/>
  <c r="M3" i="5" s="1"/>
  <c r="G3" i="5"/>
  <c r="L2" i="5"/>
  <c r="K2" i="5"/>
  <c r="M2" i="5" s="1"/>
  <c r="G2" i="5"/>
  <c r="K36" i="3"/>
  <c r="K13" i="3"/>
  <c r="K8" i="3"/>
  <c r="K7" i="3"/>
  <c r="K6" i="3"/>
  <c r="K5" i="3"/>
  <c r="K4" i="3"/>
  <c r="K3" i="3"/>
  <c r="K2" i="3"/>
  <c r="H63" i="2"/>
  <c r="G63" i="2"/>
  <c r="F63" i="2"/>
  <c r="C63" i="2"/>
  <c r="D63" i="2" s="1"/>
  <c r="H62" i="2"/>
  <c r="H61" i="2"/>
  <c r="F61" i="2"/>
  <c r="H60" i="2"/>
  <c r="G60" i="2"/>
  <c r="F60" i="2"/>
  <c r="H59" i="2"/>
  <c r="F59" i="2"/>
  <c r="H58" i="2"/>
  <c r="F58" i="2"/>
  <c r="H57" i="2"/>
  <c r="I57" i="2" s="1"/>
  <c r="H56" i="2"/>
  <c r="I56" i="2" s="1"/>
  <c r="F56" i="2"/>
  <c r="H55" i="2"/>
  <c r="I55" i="2" s="1"/>
  <c r="F55" i="2"/>
  <c r="H53" i="2"/>
  <c r="I53" i="2" s="1"/>
  <c r="F53" i="2"/>
  <c r="H52" i="2"/>
  <c r="I52" i="2" s="1"/>
  <c r="F52" i="2"/>
  <c r="H51" i="2"/>
  <c r="I51" i="2" s="1"/>
  <c r="F51" i="2"/>
  <c r="H50" i="2"/>
  <c r="F50" i="2"/>
  <c r="H49" i="2"/>
  <c r="G49" i="2"/>
  <c r="F49" i="2"/>
  <c r="H48" i="2"/>
  <c r="I48" i="2" s="1"/>
  <c r="F48" i="2"/>
  <c r="H47" i="2"/>
  <c r="I47" i="2" s="1"/>
  <c r="F47" i="2"/>
  <c r="H46" i="2"/>
  <c r="I46" i="2" s="1"/>
  <c r="E62" i="2"/>
  <c r="F62" i="2" s="1"/>
  <c r="J62" i="2" s="1"/>
  <c r="H45" i="2"/>
  <c r="I45" i="2" s="1"/>
  <c r="F45" i="2"/>
  <c r="H44" i="2"/>
  <c r="I44" i="2" s="1"/>
  <c r="F44" i="2"/>
  <c r="H43" i="2"/>
  <c r="F43" i="2"/>
  <c r="D43" i="2"/>
  <c r="C43" i="2"/>
  <c r="H42" i="2"/>
  <c r="I42" i="2" s="1"/>
  <c r="F42" i="2"/>
  <c r="H40" i="2"/>
  <c r="I40" i="2" s="1"/>
  <c r="F40" i="2"/>
  <c r="H39" i="2"/>
  <c r="I39" i="2" s="1"/>
  <c r="F39" i="2"/>
  <c r="H38" i="2"/>
  <c r="I38" i="2" s="1"/>
  <c r="F38" i="2"/>
  <c r="H37" i="2"/>
  <c r="I37" i="2" s="1"/>
  <c r="F37" i="2"/>
  <c r="H36" i="2"/>
  <c r="I36" i="2" s="1"/>
  <c r="F36" i="2"/>
  <c r="H35" i="2"/>
  <c r="I35" i="2" s="1"/>
  <c r="F35" i="2"/>
  <c r="E34" i="2"/>
  <c r="F34" i="2" s="1"/>
  <c r="H31" i="2"/>
  <c r="F31" i="2"/>
  <c r="H27" i="2"/>
  <c r="I27" i="2" s="1"/>
  <c r="F27" i="2"/>
  <c r="H26" i="2"/>
  <c r="I26" i="2" s="1"/>
  <c r="F26" i="2"/>
  <c r="H25" i="2"/>
  <c r="I25" i="2" s="1"/>
  <c r="F25" i="2"/>
  <c r="H24" i="2"/>
  <c r="F24" i="2"/>
  <c r="H23" i="2"/>
  <c r="I23" i="2" s="1"/>
  <c r="F23" i="2"/>
  <c r="H22" i="2"/>
  <c r="F22" i="2"/>
  <c r="H21" i="2"/>
  <c r="F21" i="2"/>
  <c r="A21" i="2"/>
  <c r="H19" i="2"/>
  <c r="E19" i="2"/>
  <c r="H18" i="2"/>
  <c r="F18" i="2"/>
  <c r="H17" i="2"/>
  <c r="F17" i="2"/>
  <c r="H16" i="2"/>
  <c r="I16" i="2" s="1"/>
  <c r="F16" i="2"/>
  <c r="H15" i="2"/>
  <c r="I15" i="2" s="1"/>
  <c r="F15" i="2"/>
  <c r="H14" i="2"/>
  <c r="I14" i="2" s="1"/>
  <c r="F14" i="2"/>
  <c r="H13" i="2"/>
  <c r="I13" i="2" s="1"/>
  <c r="F13" i="2"/>
  <c r="H12" i="2"/>
  <c r="I12" i="2" s="1"/>
  <c r="F12" i="2"/>
  <c r="F11" i="2"/>
  <c r="H9" i="2"/>
  <c r="I9" i="2" s="1"/>
  <c r="H8" i="2"/>
  <c r="I8" i="2" s="1"/>
  <c r="F8" i="2"/>
  <c r="H7" i="2"/>
  <c r="I7" i="2" s="1"/>
  <c r="E7" i="2"/>
  <c r="F7" i="2" s="1"/>
  <c r="H5" i="2"/>
  <c r="I5" i="2" s="1"/>
  <c r="H4" i="2"/>
  <c r="I4" i="2" s="1"/>
  <c r="F4" i="2"/>
  <c r="H3" i="2"/>
  <c r="I3" i="2" s="1"/>
  <c r="F3" i="2"/>
  <c r="K19" i="6" l="1"/>
  <c r="K20" i="6"/>
  <c r="G14" i="6"/>
  <c r="J13" i="6"/>
  <c r="J2" i="3"/>
  <c r="J38" i="3"/>
  <c r="L38" i="3" s="1"/>
  <c r="I4" i="3"/>
  <c r="J4" i="3" s="1"/>
  <c r="L4" i="3" s="1"/>
  <c r="I40" i="3"/>
  <c r="J40" i="3" s="1"/>
  <c r="L40" i="3" s="1"/>
  <c r="J18" i="3"/>
  <c r="L18" i="3" s="1"/>
  <c r="J24" i="3"/>
  <c r="L24" i="3" s="1"/>
  <c r="J26" i="3"/>
  <c r="L26" i="3" s="1"/>
  <c r="I21" i="3"/>
  <c r="J21" i="3" s="1"/>
  <c r="L21" i="3" s="1"/>
  <c r="H13" i="4" a="1"/>
  <c r="H13" i="4" s="1"/>
  <c r="I13" i="4" s="1"/>
  <c r="P3" i="4"/>
  <c r="M3" i="4"/>
  <c r="N3" i="4"/>
  <c r="O3" i="4"/>
  <c r="O77" i="4"/>
  <c r="O119" i="4"/>
  <c r="I115" i="4"/>
  <c r="I107" i="4"/>
  <c r="M107" i="4" s="1"/>
  <c r="I43" i="4"/>
  <c r="I35" i="4"/>
  <c r="I5" i="4"/>
  <c r="I28" i="4"/>
  <c r="I36" i="4"/>
  <c r="I62" i="4"/>
  <c r="I92" i="4"/>
  <c r="I6" i="4"/>
  <c r="I54" i="4"/>
  <c r="N54" i="4" s="1"/>
  <c r="I8" i="4"/>
  <c r="I46" i="4"/>
  <c r="I118" i="4"/>
  <c r="I16" i="4"/>
  <c r="I30" i="4"/>
  <c r="I110" i="4"/>
  <c r="P110" i="4" s="1"/>
  <c r="I103" i="4"/>
  <c r="I9" i="4"/>
  <c r="I72" i="4"/>
  <c r="P72" i="4" s="1"/>
  <c r="I95" i="4"/>
  <c r="N95" i="4" s="1"/>
  <c r="I119" i="4"/>
  <c r="P119" i="4" s="1"/>
  <c r="I7" i="4"/>
  <c r="I70" i="4"/>
  <c r="I64" i="4"/>
  <c r="I87" i="4"/>
  <c r="M87" i="4" s="1"/>
  <c r="I23" i="4"/>
  <c r="I84" i="4"/>
  <c r="I38" i="4"/>
  <c r="I19" i="4"/>
  <c r="I56" i="4"/>
  <c r="N56" i="4" s="1"/>
  <c r="I79" i="4"/>
  <c r="P79" i="4" s="1"/>
  <c r="I24" i="4"/>
  <c r="I17" i="4"/>
  <c r="I48" i="4"/>
  <c r="I73" i="4"/>
  <c r="N73" i="4" s="1"/>
  <c r="I40" i="4"/>
  <c r="I120" i="4"/>
  <c r="P120" i="4" s="1"/>
  <c r="I112" i="4"/>
  <c r="M112" i="4" s="1"/>
  <c r="I32" i="4"/>
  <c r="I105" i="4"/>
  <c r="M105" i="4" s="1"/>
  <c r="I97" i="4"/>
  <c r="M97" i="4" s="1"/>
  <c r="I89" i="4"/>
  <c r="I121" i="4"/>
  <c r="M121" i="4" s="1"/>
  <c r="I100" i="4"/>
  <c r="I14" i="4"/>
  <c r="I21" i="4"/>
  <c r="I75" i="4"/>
  <c r="O75" i="4" s="1"/>
  <c r="I67" i="4"/>
  <c r="M67" i="4" s="1"/>
  <c r="I59" i="4"/>
  <c r="P59" i="4" s="1"/>
  <c r="I11" i="4"/>
  <c r="I81" i="4"/>
  <c r="P81" i="4" s="1"/>
  <c r="I51" i="4"/>
  <c r="O51" i="4" s="1"/>
  <c r="I27" i="4"/>
  <c r="I33" i="4"/>
  <c r="I41" i="4"/>
  <c r="I49" i="4"/>
  <c r="I57" i="4"/>
  <c r="N57" i="4" s="1"/>
  <c r="I65" i="4"/>
  <c r="M65" i="4" s="1"/>
  <c r="I44" i="4"/>
  <c r="I52" i="4"/>
  <c r="I60" i="4"/>
  <c r="P60" i="4" s="1"/>
  <c r="I68" i="4"/>
  <c r="P68" i="4" s="1"/>
  <c r="I76" i="4"/>
  <c r="P76" i="4" s="1"/>
  <c r="I82" i="4"/>
  <c r="O82" i="4" s="1"/>
  <c r="I90" i="4"/>
  <c r="P90" i="4" s="1"/>
  <c r="I98" i="4"/>
  <c r="O98" i="4" s="1"/>
  <c r="I106" i="4"/>
  <c r="P106" i="4" s="1"/>
  <c r="I113" i="4"/>
  <c r="O113" i="4" s="1"/>
  <c r="I4" i="4"/>
  <c r="I12" i="4"/>
  <c r="O12" i="4" s="1"/>
  <c r="I20" i="4"/>
  <c r="I26" i="4"/>
  <c r="I31" i="4"/>
  <c r="I39" i="4"/>
  <c r="I47" i="4"/>
  <c r="I55" i="4"/>
  <c r="P55" i="4" s="1"/>
  <c r="I63" i="4"/>
  <c r="I71" i="4"/>
  <c r="O71" i="4" s="1"/>
  <c r="I77" i="4"/>
  <c r="N77" i="4" s="1"/>
  <c r="I85" i="4"/>
  <c r="I93" i="4"/>
  <c r="I101" i="4"/>
  <c r="I108" i="4"/>
  <c r="N108" i="4" s="1"/>
  <c r="I116" i="4"/>
  <c r="I15" i="4"/>
  <c r="I22" i="4"/>
  <c r="I34" i="4"/>
  <c r="P34" i="4" s="1"/>
  <c r="I42" i="4"/>
  <c r="I50" i="4"/>
  <c r="I58" i="4"/>
  <c r="M58" i="4" s="1"/>
  <c r="I66" i="4"/>
  <c r="M66" i="4" s="1"/>
  <c r="I74" i="4"/>
  <c r="P74" i="4" s="1"/>
  <c r="I80" i="4"/>
  <c r="P80" i="4" s="1"/>
  <c r="I88" i="4"/>
  <c r="P88" i="4" s="1"/>
  <c r="I96" i="4"/>
  <c r="I104" i="4"/>
  <c r="N104" i="4" s="1"/>
  <c r="I111" i="4"/>
  <c r="M111" i="4" s="1"/>
  <c r="I10" i="4"/>
  <c r="I18" i="4"/>
  <c r="I25" i="4"/>
  <c r="I29" i="4"/>
  <c r="I37" i="4"/>
  <c r="I45" i="4"/>
  <c r="I53" i="4"/>
  <c r="P53" i="4" s="1"/>
  <c r="I61" i="4"/>
  <c r="M61" i="4" s="1"/>
  <c r="I69" i="4"/>
  <c r="P69" i="4" s="1"/>
  <c r="I83" i="4"/>
  <c r="N83" i="4" s="1"/>
  <c r="I91" i="4"/>
  <c r="P91" i="4" s="1"/>
  <c r="I99" i="4"/>
  <c r="M99" i="4" s="1"/>
  <c r="I114" i="4"/>
  <c r="N114" i="4" s="1"/>
  <c r="I122" i="4"/>
  <c r="P122" i="4" s="1"/>
  <c r="I78" i="4"/>
  <c r="M78" i="4" s="1"/>
  <c r="I86" i="4"/>
  <c r="M86" i="4" s="1"/>
  <c r="I94" i="4"/>
  <c r="M94" i="4" s="1"/>
  <c r="I102" i="4"/>
  <c r="I109" i="4"/>
  <c r="P109" i="4" s="1"/>
  <c r="I117" i="4"/>
  <c r="M117" i="4" s="1"/>
  <c r="J32" i="3"/>
  <c r="L32" i="3" s="1"/>
  <c r="J34" i="3"/>
  <c r="L34" i="3" s="1"/>
  <c r="J30" i="3"/>
  <c r="L30" i="3" s="1"/>
  <c r="J31" i="3"/>
  <c r="L31" i="3" s="1"/>
  <c r="J13" i="3"/>
  <c r="L13" i="3" s="1"/>
  <c r="J29" i="3"/>
  <c r="L29" i="3" s="1"/>
  <c r="J14" i="3"/>
  <c r="L14" i="3" s="1"/>
  <c r="J16" i="3"/>
  <c r="L16" i="3" s="1"/>
  <c r="L2" i="3"/>
  <c r="J65" i="2"/>
  <c r="J64" i="2"/>
  <c r="J32" i="2"/>
  <c r="J57" i="2"/>
  <c r="J34" i="2"/>
  <c r="J28" i="2"/>
  <c r="J30" i="2"/>
  <c r="J29" i="2"/>
  <c r="J6" i="2"/>
  <c r="J8" i="2"/>
  <c r="J14" i="2"/>
  <c r="I31" i="2"/>
  <c r="J31" i="2" s="1"/>
  <c r="J51" i="2"/>
  <c r="I61" i="2"/>
  <c r="J61" i="2" s="1"/>
  <c r="I49" i="2"/>
  <c r="J49" i="2" s="1"/>
  <c r="I24" i="2"/>
  <c r="J24" i="2" s="1"/>
  <c r="I50" i="2"/>
  <c r="J50" i="2" s="1"/>
  <c r="J36" i="2"/>
  <c r="J11" i="2"/>
  <c r="J23" i="2"/>
  <c r="K21" i="6"/>
  <c r="I60" i="2"/>
  <c r="J60" i="2" s="1"/>
  <c r="J38" i="2"/>
  <c r="O11" i="5"/>
  <c r="J16" i="2"/>
  <c r="O6" i="5"/>
  <c r="J13" i="2"/>
  <c r="J5" i="2"/>
  <c r="J42" i="2"/>
  <c r="D4" i="9"/>
  <c r="D6" i="9"/>
  <c r="J37" i="2"/>
  <c r="K15" i="6"/>
  <c r="J6" i="6"/>
  <c r="K6" i="6" s="1"/>
  <c r="I43" i="2"/>
  <c r="J43" i="2" s="1"/>
  <c r="I58" i="2"/>
  <c r="J58" i="2" s="1"/>
  <c r="J7" i="6"/>
  <c r="K7" i="6" s="1"/>
  <c r="J53" i="2"/>
  <c r="J47" i="2"/>
  <c r="I21" i="2"/>
  <c r="J21" i="2" s="1"/>
  <c r="I19" i="2"/>
  <c r="D19" i="2"/>
  <c r="K10" i="6"/>
  <c r="K11" i="6"/>
  <c r="O13" i="5"/>
  <c r="I17" i="2"/>
  <c r="J17" i="2" s="1"/>
  <c r="J12" i="2"/>
  <c r="K5" i="6"/>
  <c r="F46" i="2"/>
  <c r="J46" i="2" s="1"/>
  <c r="J3" i="2"/>
  <c r="I18" i="2"/>
  <c r="J18" i="2" s="1"/>
  <c r="I59" i="2"/>
  <c r="J59" i="2" s="1"/>
  <c r="J35" i="2"/>
  <c r="J16" i="6"/>
  <c r="K16" i="6" s="1"/>
  <c r="J8" i="6"/>
  <c r="K8" i="6" s="1"/>
  <c r="J7" i="2"/>
  <c r="I22" i="2"/>
  <c r="J22" i="2" s="1"/>
  <c r="J39" i="2"/>
  <c r="K18" i="6"/>
  <c r="J4" i="2"/>
  <c r="K12" i="6"/>
  <c r="J52" i="2"/>
  <c r="J25" i="2"/>
  <c r="J40" i="2"/>
  <c r="O4" i="5"/>
  <c r="J56" i="2"/>
  <c r="J4" i="6"/>
  <c r="K4" i="6" s="1"/>
  <c r="O3" i="5"/>
  <c r="J55" i="2"/>
  <c r="J27" i="2"/>
  <c r="J15" i="2"/>
  <c r="J35" i="3"/>
  <c r="L35" i="3" s="1"/>
  <c r="K14" i="6"/>
  <c r="J22" i="3"/>
  <c r="L22" i="3" s="1"/>
  <c r="O7" i="5"/>
  <c r="J37" i="3"/>
  <c r="L37" i="3" s="1"/>
  <c r="J8" i="3"/>
  <c r="L8" i="3" s="1"/>
  <c r="O8" i="5"/>
  <c r="J44" i="2"/>
  <c r="F33" i="2"/>
  <c r="J33" i="2" s="1"/>
  <c r="J9" i="3"/>
  <c r="L9" i="3" s="1"/>
  <c r="J23" i="3"/>
  <c r="L23" i="3" s="1"/>
  <c r="J26" i="2"/>
  <c r="J45" i="2"/>
  <c r="I63" i="2"/>
  <c r="J63" i="2" s="1"/>
  <c r="J11" i="3"/>
  <c r="L11" i="3" s="1"/>
  <c r="J39" i="3"/>
  <c r="L39" i="3" s="1"/>
  <c r="J25" i="3"/>
  <c r="L25" i="3" s="1"/>
  <c r="O9" i="5"/>
  <c r="O10" i="5"/>
  <c r="K17" i="6"/>
  <c r="J3" i="3"/>
  <c r="L3" i="3" s="1"/>
  <c r="J27" i="3"/>
  <c r="L27" i="3" s="1"/>
  <c r="O2" i="5"/>
  <c r="J15" i="3"/>
  <c r="L15" i="3" s="1"/>
  <c r="O12" i="5"/>
  <c r="J6" i="3"/>
  <c r="L6" i="3" s="1"/>
  <c r="J17" i="3"/>
  <c r="L17" i="3" s="1"/>
  <c r="J48" i="2"/>
  <c r="J9" i="2"/>
  <c r="J19" i="3"/>
  <c r="L19" i="3" s="1"/>
  <c r="K13" i="6"/>
  <c r="J33" i="3"/>
  <c r="L33" i="3" s="1"/>
  <c r="J7" i="3"/>
  <c r="L7" i="3" s="1"/>
  <c r="O5" i="5"/>
  <c r="J10" i="3"/>
  <c r="L10" i="3" s="1"/>
  <c r="D2" i="9"/>
  <c r="B19" i="2" s="1"/>
  <c r="F19" i="2" s="1"/>
  <c r="B3" i="9"/>
  <c r="D3" i="9" s="1"/>
  <c r="C19" i="2" s="1"/>
  <c r="J5" i="3"/>
  <c r="L5" i="3" s="1"/>
  <c r="J12" i="3"/>
  <c r="L12" i="3" s="1"/>
  <c r="J20" i="3"/>
  <c r="L20" i="3" s="1"/>
  <c r="J28" i="3"/>
  <c r="L28" i="3" s="1"/>
  <c r="J36" i="3"/>
  <c r="L36" i="3" s="1"/>
  <c r="N51" i="4" l="1"/>
  <c r="P51" i="4"/>
  <c r="M51" i="4"/>
  <c r="N107" i="4"/>
  <c r="O109" i="4"/>
  <c r="N109" i="4"/>
  <c r="O67" i="4"/>
  <c r="N75" i="4"/>
  <c r="P77" i="4"/>
  <c r="M79" i="4"/>
  <c r="M109" i="4"/>
  <c r="O108" i="4"/>
  <c r="M56" i="4"/>
  <c r="P78" i="4"/>
  <c r="P67" i="4"/>
  <c r="P108" i="4"/>
  <c r="P95" i="4"/>
  <c r="B39" i="1"/>
  <c r="P66" i="4"/>
  <c r="P87" i="4"/>
  <c r="N80" i="4"/>
  <c r="N74" i="4"/>
  <c r="O94" i="4"/>
  <c r="M80" i="4"/>
  <c r="M74" i="4"/>
  <c r="O79" i="4"/>
  <c r="N79" i="4"/>
  <c r="N78" i="4"/>
  <c r="O78" i="4"/>
  <c r="B43" i="1"/>
  <c r="B41" i="1"/>
  <c r="O73" i="4"/>
  <c r="M77" i="4"/>
  <c r="P94" i="4"/>
  <c r="N94" i="4"/>
  <c r="O110" i="4"/>
  <c r="N110" i="4"/>
  <c r="M95" i="4"/>
  <c r="B38" i="1"/>
  <c r="N13" i="4"/>
  <c r="M13" i="4"/>
  <c r="M75" i="4"/>
  <c r="P71" i="4"/>
  <c r="P58" i="4"/>
  <c r="P75" i="4"/>
  <c r="P114" i="4"/>
  <c r="N55" i="4"/>
  <c r="M114" i="4"/>
  <c r="O95" i="4"/>
  <c r="P98" i="4"/>
  <c r="M91" i="4"/>
  <c r="O114" i="4"/>
  <c r="O99" i="4"/>
  <c r="N99" i="4"/>
  <c r="P73" i="4"/>
  <c r="N67" i="4"/>
  <c r="Q67" i="4" s="1"/>
  <c r="P99" i="4"/>
  <c r="M55" i="4"/>
  <c r="O55" i="4"/>
  <c r="P105" i="4"/>
  <c r="P56" i="4"/>
  <c r="M104" i="4"/>
  <c r="O68" i="4"/>
  <c r="O91" i="4"/>
  <c r="N91" i="4"/>
  <c r="P12" i="4"/>
  <c r="M57" i="4"/>
  <c r="O56" i="4"/>
  <c r="N68" i="4"/>
  <c r="M110" i="4"/>
  <c r="P32" i="4"/>
  <c r="O32" i="4"/>
  <c r="N32" i="4"/>
  <c r="M32" i="4"/>
  <c r="N12" i="4"/>
  <c r="P26" i="4"/>
  <c r="O26" i="4"/>
  <c r="N26" i="4"/>
  <c r="M26" i="4"/>
  <c r="P48" i="4"/>
  <c r="O48" i="4"/>
  <c r="N48" i="4"/>
  <c r="M48" i="4"/>
  <c r="P54" i="4"/>
  <c r="O25" i="4"/>
  <c r="N25" i="4"/>
  <c r="P25" i="4"/>
  <c r="M25" i="4"/>
  <c r="P83" i="4"/>
  <c r="P5" i="4"/>
  <c r="O5" i="4"/>
  <c r="N5" i="4"/>
  <c r="M5" i="4"/>
  <c r="O107" i="4"/>
  <c r="M12" i="4"/>
  <c r="P6" i="4"/>
  <c r="O6" i="4"/>
  <c r="N6" i="4"/>
  <c r="M6" i="4"/>
  <c r="M54" i="4"/>
  <c r="M68" i="4"/>
  <c r="N106" i="4"/>
  <c r="P104" i="4"/>
  <c r="N69" i="4"/>
  <c r="P96" i="4"/>
  <c r="N96" i="4"/>
  <c r="M96" i="4"/>
  <c r="N98" i="4"/>
  <c r="M108" i="4"/>
  <c r="P97" i="4"/>
  <c r="P4" i="4"/>
  <c r="O4" i="4"/>
  <c r="N4" i="4"/>
  <c r="M4" i="4"/>
  <c r="P43" i="4"/>
  <c r="O43" i="4"/>
  <c r="N43" i="4"/>
  <c r="M43" i="4"/>
  <c r="M113" i="4"/>
  <c r="P107" i="4"/>
  <c r="P65" i="4"/>
  <c r="P47" i="4"/>
  <c r="O47" i="4"/>
  <c r="N47" i="4"/>
  <c r="M47" i="4"/>
  <c r="O69" i="4"/>
  <c r="M73" i="4"/>
  <c r="P44" i="4"/>
  <c r="O44" i="4"/>
  <c r="N44" i="4"/>
  <c r="M44" i="4"/>
  <c r="P38" i="4"/>
  <c r="O38" i="4"/>
  <c r="N38" i="4"/>
  <c r="M38" i="4"/>
  <c r="O61" i="4"/>
  <c r="M106" i="4"/>
  <c r="O117" i="4"/>
  <c r="P113" i="4"/>
  <c r="M69" i="4"/>
  <c r="P115" i="4"/>
  <c r="O115" i="4"/>
  <c r="N115" i="4"/>
  <c r="M115" i="4"/>
  <c r="P84" i="4"/>
  <c r="O84" i="4"/>
  <c r="N84" i="4"/>
  <c r="M84" i="4"/>
  <c r="O53" i="4"/>
  <c r="O66" i="4"/>
  <c r="M98" i="4"/>
  <c r="P86" i="4"/>
  <c r="P82" i="4"/>
  <c r="P50" i="4"/>
  <c r="O50" i="4"/>
  <c r="N50" i="4"/>
  <c r="M50" i="4"/>
  <c r="P23" i="4"/>
  <c r="O23" i="4"/>
  <c r="N23" i="4"/>
  <c r="M23" i="4"/>
  <c r="N61" i="4"/>
  <c r="N66" i="4"/>
  <c r="O112" i="4"/>
  <c r="P117" i="4"/>
  <c r="O54" i="4"/>
  <c r="P39" i="4"/>
  <c r="O39" i="4"/>
  <c r="N39" i="4"/>
  <c r="M39" i="4"/>
  <c r="P40" i="4"/>
  <c r="O40" i="4"/>
  <c r="N40" i="4"/>
  <c r="M40" i="4"/>
  <c r="N53" i="4"/>
  <c r="O105" i="4"/>
  <c r="N117" i="4"/>
  <c r="P89" i="4"/>
  <c r="M89" i="4"/>
  <c r="O65" i="4"/>
  <c r="O90" i="4"/>
  <c r="O97" i="4"/>
  <c r="P112" i="4"/>
  <c r="P31" i="4"/>
  <c r="O31" i="4"/>
  <c r="N31" i="4"/>
  <c r="M31" i="4"/>
  <c r="P22" i="4"/>
  <c r="O22" i="4"/>
  <c r="N22" i="4"/>
  <c r="M22" i="4"/>
  <c r="O33" i="4"/>
  <c r="N33" i="4"/>
  <c r="P33" i="4"/>
  <c r="M33" i="4"/>
  <c r="P70" i="4"/>
  <c r="O70" i="4"/>
  <c r="N70" i="4"/>
  <c r="M70" i="4"/>
  <c r="M53" i="4"/>
  <c r="N65" i="4"/>
  <c r="N90" i="4"/>
  <c r="N112" i="4"/>
  <c r="O122" i="4"/>
  <c r="O96" i="4"/>
  <c r="P8" i="4"/>
  <c r="O8" i="4"/>
  <c r="N8" i="4"/>
  <c r="M8" i="4"/>
  <c r="Q8" i="4" s="1"/>
  <c r="N113" i="4"/>
  <c r="P7" i="4"/>
  <c r="O7" i="4"/>
  <c r="N7" i="4"/>
  <c r="M7" i="4"/>
  <c r="O60" i="4"/>
  <c r="M90" i="4"/>
  <c r="N105" i="4"/>
  <c r="N122" i="4"/>
  <c r="P121" i="4"/>
  <c r="P20" i="4"/>
  <c r="O20" i="4"/>
  <c r="N20" i="4"/>
  <c r="M20" i="4"/>
  <c r="P37" i="4"/>
  <c r="O37" i="4"/>
  <c r="N37" i="4"/>
  <c r="M37" i="4"/>
  <c r="P102" i="4"/>
  <c r="O102" i="4"/>
  <c r="N102" i="4"/>
  <c r="M102" i="4"/>
  <c r="P116" i="4"/>
  <c r="O116" i="4"/>
  <c r="N116" i="4"/>
  <c r="M116" i="4"/>
  <c r="N89" i="4"/>
  <c r="N97" i="4"/>
  <c r="M122" i="4"/>
  <c r="P61" i="4"/>
  <c r="P45" i="4"/>
  <c r="O45" i="4"/>
  <c r="N45" i="4"/>
  <c r="M45" i="4"/>
  <c r="P18" i="4"/>
  <c r="O18" i="4"/>
  <c r="N18" i="4"/>
  <c r="M18" i="4"/>
  <c r="P10" i="4"/>
  <c r="O10" i="4"/>
  <c r="N10" i="4"/>
  <c r="M10" i="4"/>
  <c r="O49" i="4"/>
  <c r="P49" i="4"/>
  <c r="N49" i="4"/>
  <c r="M49" i="4"/>
  <c r="N60" i="4"/>
  <c r="O83" i="4"/>
  <c r="O88" i="4"/>
  <c r="O121" i="4"/>
  <c r="P13" i="4"/>
  <c r="P62" i="4"/>
  <c r="O62" i="4"/>
  <c r="N62" i="4"/>
  <c r="M62" i="4"/>
  <c r="P24" i="4"/>
  <c r="O24" i="4"/>
  <c r="N24" i="4"/>
  <c r="M24" i="4"/>
  <c r="O81" i="4"/>
  <c r="M81" i="4"/>
  <c r="N88" i="4"/>
  <c r="N121" i="4"/>
  <c r="O106" i="4"/>
  <c r="N76" i="4"/>
  <c r="M76" i="4"/>
  <c r="P42" i="4"/>
  <c r="O42" i="4"/>
  <c r="N42" i="4"/>
  <c r="M42" i="4"/>
  <c r="O9" i="4"/>
  <c r="N9" i="4"/>
  <c r="P9" i="4"/>
  <c r="M9" i="4"/>
  <c r="O58" i="4"/>
  <c r="M83" i="4"/>
  <c r="M88" i="4"/>
  <c r="O13" i="4"/>
  <c r="P29" i="4"/>
  <c r="O29" i="4"/>
  <c r="N29" i="4"/>
  <c r="M29" i="4"/>
  <c r="N17" i="4"/>
  <c r="P17" i="4"/>
  <c r="O17" i="4"/>
  <c r="M17" i="4"/>
  <c r="P41" i="4"/>
  <c r="N41" i="4"/>
  <c r="O41" i="4"/>
  <c r="M41" i="4"/>
  <c r="P85" i="4"/>
  <c r="O85" i="4"/>
  <c r="N85" i="4"/>
  <c r="M85" i="4"/>
  <c r="P103" i="4"/>
  <c r="O103" i="4"/>
  <c r="N103" i="4"/>
  <c r="M103" i="4"/>
  <c r="N58" i="4"/>
  <c r="O76" i="4"/>
  <c r="O87" i="4"/>
  <c r="O111" i="4"/>
  <c r="N119" i="4"/>
  <c r="P92" i="4"/>
  <c r="O92" i="4"/>
  <c r="N92" i="4"/>
  <c r="M92" i="4"/>
  <c r="M100" i="4"/>
  <c r="P100" i="4"/>
  <c r="O100" i="4"/>
  <c r="N100" i="4"/>
  <c r="P36" i="4"/>
  <c r="O36" i="4"/>
  <c r="N36" i="4"/>
  <c r="M36" i="4"/>
  <c r="P28" i="4"/>
  <c r="O28" i="4"/>
  <c r="N28" i="4"/>
  <c r="M28" i="4"/>
  <c r="P35" i="4"/>
  <c r="O35" i="4"/>
  <c r="N35" i="4"/>
  <c r="M35" i="4"/>
  <c r="P64" i="4"/>
  <c r="O64" i="4"/>
  <c r="N64" i="4"/>
  <c r="M64" i="4"/>
  <c r="O59" i="4"/>
  <c r="N59" i="4"/>
  <c r="M59" i="4"/>
  <c r="N87" i="4"/>
  <c r="P111" i="4"/>
  <c r="M71" i="4"/>
  <c r="N71" i="4"/>
  <c r="P30" i="4"/>
  <c r="O30" i="4"/>
  <c r="N30" i="4"/>
  <c r="M30" i="4"/>
  <c r="N82" i="4"/>
  <c r="N111" i="4"/>
  <c r="O89" i="4"/>
  <c r="O80" i="4"/>
  <c r="P19" i="4"/>
  <c r="O19" i="4"/>
  <c r="N19" i="4"/>
  <c r="M19" i="4"/>
  <c r="O34" i="4"/>
  <c r="N34" i="4"/>
  <c r="M34" i="4"/>
  <c r="P27" i="4"/>
  <c r="O27" i="4"/>
  <c r="N27" i="4"/>
  <c r="M27" i="4"/>
  <c r="M60" i="4"/>
  <c r="P93" i="4"/>
  <c r="O93" i="4"/>
  <c r="N93" i="4"/>
  <c r="M93" i="4"/>
  <c r="O104" i="4"/>
  <c r="M119" i="4"/>
  <c r="P63" i="4"/>
  <c r="O63" i="4"/>
  <c r="N63" i="4"/>
  <c r="M63" i="4"/>
  <c r="P21" i="4"/>
  <c r="O21" i="4"/>
  <c r="N21" i="4"/>
  <c r="M21" i="4"/>
  <c r="P16" i="4"/>
  <c r="O16" i="4"/>
  <c r="N16" i="4"/>
  <c r="M16" i="4"/>
  <c r="Q16" i="4" s="1"/>
  <c r="O57" i="4"/>
  <c r="M82" i="4"/>
  <c r="O86" i="4"/>
  <c r="P57" i="4"/>
  <c r="P46" i="4"/>
  <c r="O46" i="4"/>
  <c r="N46" i="4"/>
  <c r="M46" i="4"/>
  <c r="P52" i="4"/>
  <c r="O52" i="4"/>
  <c r="N52" i="4"/>
  <c r="M52" i="4"/>
  <c r="P15" i="4"/>
  <c r="O15" i="4"/>
  <c r="N15" i="4"/>
  <c r="M15" i="4"/>
  <c r="P101" i="4"/>
  <c r="O101" i="4"/>
  <c r="N101" i="4"/>
  <c r="M101" i="4"/>
  <c r="O72" i="4"/>
  <c r="N72" i="4"/>
  <c r="M72" i="4"/>
  <c r="P11" i="4"/>
  <c r="O11" i="4"/>
  <c r="N11" i="4"/>
  <c r="M11" i="4"/>
  <c r="O74" i="4"/>
  <c r="P14" i="4"/>
  <c r="O14" i="4"/>
  <c r="N14" i="4"/>
  <c r="M14" i="4"/>
  <c r="P118" i="4"/>
  <c r="O118" i="4"/>
  <c r="N118" i="4"/>
  <c r="M118" i="4"/>
  <c r="N81" i="4"/>
  <c r="N86" i="4"/>
  <c r="O120" i="4"/>
  <c r="M120" i="4"/>
  <c r="N120" i="4"/>
  <c r="Q3" i="4"/>
  <c r="B36" i="1"/>
  <c r="B37" i="1"/>
  <c r="B34" i="1"/>
  <c r="J19" i="2"/>
  <c r="B35" i="1" s="1"/>
  <c r="Q23" i="4" l="1"/>
  <c r="Q56" i="4"/>
  <c r="B29" i="1"/>
  <c r="B30" i="1"/>
  <c r="B28" i="1"/>
  <c r="B31" i="1"/>
  <c r="Q40" i="4"/>
  <c r="Q13" i="4"/>
  <c r="Q105" i="4"/>
  <c r="Q50" i="4"/>
  <c r="Q43" i="4"/>
  <c r="Q32" i="4"/>
  <c r="Q81" i="4"/>
  <c r="Q53" i="4"/>
  <c r="Q122" i="4"/>
  <c r="Q51" i="4"/>
  <c r="Q70" i="4"/>
  <c r="Q68" i="4"/>
  <c r="Q41" i="4"/>
  <c r="Q29" i="4"/>
  <c r="Q18" i="4"/>
  <c r="Q94" i="4"/>
  <c r="Q86" i="4"/>
  <c r="Q12" i="4"/>
  <c r="Q89" i="4"/>
  <c r="Q114" i="4"/>
  <c r="Q112" i="4"/>
  <c r="Q25" i="4"/>
  <c r="Q4" i="4"/>
  <c r="Q47" i="4"/>
  <c r="Q48" i="4"/>
  <c r="Q98" i="4"/>
  <c r="Q42" i="4"/>
  <c r="Q69" i="4"/>
  <c r="Q37" i="4"/>
  <c r="Q118" i="4"/>
  <c r="Q117" i="4"/>
  <c r="Q45" i="4"/>
  <c r="Q111" i="4"/>
  <c r="Q101" i="4"/>
  <c r="Q44" i="4"/>
  <c r="Q113" i="4"/>
  <c r="Q62" i="4"/>
  <c r="Q58" i="4"/>
  <c r="Q52" i="4"/>
  <c r="Q88" i="4"/>
  <c r="Q93" i="4"/>
  <c r="Q57" i="4"/>
  <c r="Q72" i="4"/>
  <c r="Q61" i="4"/>
  <c r="Q116" i="4"/>
  <c r="Q74" i="4"/>
  <c r="Q38" i="4"/>
  <c r="Q82" i="4"/>
  <c r="Q66" i="4"/>
  <c r="Q84" i="4"/>
  <c r="Q83" i="4"/>
  <c r="Q80" i="4"/>
  <c r="Q65" i="4"/>
  <c r="Q27" i="4"/>
  <c r="Q55" i="4"/>
  <c r="Q36" i="4"/>
  <c r="Q108" i="4"/>
  <c r="Q119" i="4"/>
  <c r="Q96" i="4"/>
  <c r="Q28" i="4"/>
  <c r="Q104" i="4"/>
  <c r="Q21" i="4"/>
  <c r="Q78" i="4"/>
  <c r="Q39" i="4"/>
  <c r="Q19" i="4"/>
  <c r="Q91" i="4"/>
  <c r="Q49" i="4"/>
  <c r="Q71" i="4"/>
  <c r="Q46" i="4"/>
  <c r="Q115" i="4"/>
  <c r="Q30" i="4"/>
  <c r="Q97" i="4"/>
  <c r="Q110" i="4"/>
  <c r="Q59" i="4"/>
  <c r="Q22" i="4"/>
  <c r="Q120" i="4"/>
  <c r="Q64" i="4"/>
  <c r="Q24" i="4"/>
  <c r="Q76" i="4"/>
  <c r="Q99" i="4"/>
  <c r="Q33" i="4"/>
  <c r="Q14" i="4"/>
  <c r="Q11" i="4"/>
  <c r="Q10" i="4"/>
  <c r="Q20" i="4"/>
  <c r="Q54" i="4"/>
  <c r="Q92" i="4"/>
  <c r="Q85" i="4"/>
  <c r="Q121" i="4"/>
  <c r="Q73" i="4"/>
  <c r="Q102" i="4"/>
  <c r="Q90" i="4"/>
  <c r="Q107" i="4"/>
  <c r="Q35" i="4"/>
  <c r="Q34" i="4"/>
  <c r="Q95" i="4"/>
  <c r="Q26" i="4"/>
  <c r="Q79" i="4"/>
  <c r="Q100" i="4"/>
  <c r="Q15" i="4"/>
  <c r="Q6" i="4"/>
  <c r="Q9" i="4"/>
  <c r="Q109" i="4"/>
  <c r="Q60" i="4"/>
  <c r="Q5" i="4"/>
  <c r="Q103" i="4"/>
  <c r="Q63" i="4"/>
  <c r="Q87" i="4"/>
  <c r="Q7" i="4"/>
  <c r="Q75" i="4"/>
  <c r="Q17" i="4"/>
  <c r="Q106" i="4"/>
  <c r="Q77" i="4"/>
  <c r="Q31" i="4"/>
  <c r="B33" i="1"/>
  <c r="B40" i="1" l="1"/>
  <c r="B4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<sst xmlns="http://schemas.openxmlformats.org/spreadsheetml/2006/main" count="907" uniqueCount="536">
  <si>
    <t>Выбор конфигурации</t>
  </si>
  <si>
    <t>Комментарий</t>
  </si>
  <si>
    <t>Типоразмер:</t>
  </si>
  <si>
    <t>M</t>
  </si>
  <si>
    <t>Хотэнд:</t>
  </si>
  <si>
    <t>Настройки филамента</t>
  </si>
  <si>
    <t>Плотность</t>
  </si>
  <si>
    <t>Цена/кг</t>
  </si>
  <si>
    <t>Запас</t>
  </si>
  <si>
    <t>Другое</t>
  </si>
  <si>
    <t>Курс доллара:</t>
  </si>
  <si>
    <t>Основные параметры</t>
  </si>
  <si>
    <t>├ Базовая:</t>
  </si>
  <si>
    <t>├ Одноматериальная печать:</t>
  </si>
  <si>
    <t>├ Двухматериальная печать:</t>
  </si>
  <si>
    <t>├ Зеркальный режим:</t>
  </si>
  <si>
    <t>└ Повторяющий режим:</t>
  </si>
  <si>
    <t>Область печати по Z:</t>
  </si>
  <si>
    <t>Габарит:</t>
  </si>
  <si>
    <t>Без учёта экрана</t>
  </si>
  <si>
    <t xml:space="preserve">Расчёт стоимости происходит с несколькими особенностями:
1. При расчёте используются полные цены товаров;
2. Предполагается использование качественных и недешёвых версий деталей;
3. Учтены запасы;
4. Розничные цены на стандартные изделия;
5. Доставка в цену не включается т.к. у всех она разная;
6. Цены всегда считаются за единицы товаров, но некоторые товары продаются только комплектами.
Таким образом, стоимость принтера считается только приблизительно. Фактическая цена может быть как значительно ниже, если пользователь прибегнет к покупке товаров по скидке, поиску более дешёвых версий, покупке стандартных изделий упаковками вскладчину с кем-то и изготовлению деталей стола и зашивки своими силами. Так и дороже, если в ваш регион дорогая доставка или вы решите отходить от проекта. </t>
  </si>
  <si>
    <t>├ Покупные изделия:</t>
  </si>
  <si>
    <t>├ ├ Печатающие головы:</t>
  </si>
  <si>
    <t>├ ├ Механика портала:</t>
  </si>
  <si>
    <t>├ ├ Электроника:</t>
  </si>
  <si>
    <t>├ └ Другое:</t>
  </si>
  <si>
    <t>├ Стандартные изделия:</t>
  </si>
  <si>
    <t>├ Печатные изделия:</t>
  </si>
  <si>
    <t>├ Алюминиевый профиль:</t>
  </si>
  <si>
    <t>├ Зашивка:</t>
  </si>
  <si>
    <t>├ Проводка и разъёмы:</t>
  </si>
  <si>
    <t>└ Итого:</t>
  </si>
  <si>
    <t>Наименование</t>
  </si>
  <si>
    <t>ед. L</t>
  </si>
  <si>
    <t>ед. XL</t>
  </si>
  <si>
    <t>Вкл</t>
  </si>
  <si>
    <t>Цена ед. базовая</t>
  </si>
  <si>
    <t>Цена ед.</t>
  </si>
  <si>
    <t>Цена итого</t>
  </si>
  <si>
    <t>Ссылки</t>
  </si>
  <si>
    <t>Подающие колёса BMG</t>
  </si>
  <si>
    <t>Ali</t>
  </si>
  <si>
    <t>Moons Nema14 L17мм</t>
  </si>
  <si>
    <t>CHC XL</t>
  </si>
  <si>
    <t>BTT MicroProbe</t>
  </si>
  <si>
    <t>Труба алюминиевая 20x20x2мм</t>
  </si>
  <si>
    <t>Ozon</t>
  </si>
  <si>
    <t>RDBB MGN9 L500мм с 2 каретками MGN9H</t>
  </si>
  <si>
    <t>RDBB MGN9 L600мм с 2 каретками MGN9H</t>
  </si>
  <si>
    <t>RDBB MGN12 L300мм с кареткой MGN12H</t>
  </si>
  <si>
    <t>RDBB MGN12 L450мм с кареткой MGN12H</t>
  </si>
  <si>
    <t>RDBB MGN12 L550мм с кареткой MGN12H</t>
  </si>
  <si>
    <t>Двигатель SIBOOR-42STH48</t>
  </si>
  <si>
    <t>- «Для Voron 2.4» устанавливаются как есть, без опорного подшипника;
- «Для Voron Trident» подходят для установки с опорным подшипником. Но надо будет укорачивать вал в размер</t>
  </si>
  <si>
    <t>Шкив 1,5GT 52t W10мм ID5мм</t>
  </si>
  <si>
    <t>Возможна сборка на 2GT ремне и 40-зубых 2GT шкивах</t>
  </si>
  <si>
    <t>Ремень 1,5GT W9mm</t>
  </si>
  <si>
    <t>На ось Z подойдёт любой вариант, но лучше без удлинённого вала</t>
  </si>
  <si>
    <t>Шкив 2GT 40t W10мм ID8мм</t>
  </si>
  <si>
    <t>Шкив 2GT 20t W10мм ID5мм</t>
  </si>
  <si>
    <t>Ремень 2GT W9мм кольцевой</t>
  </si>
  <si>
    <t>Ходовой винт Tr8x8(P2) L350мм</t>
  </si>
  <si>
    <t>Винты идут в комплекте с анти-люфтовыми гайками. От этих гаек используется только основная часть, без пружины и подпружиненной части</t>
  </si>
  <si>
    <t>Ходовой винт Tr8x8(P2) L500мм</t>
  </si>
  <si>
    <t>Ходовой винт Tr8x8(P2) L600мм</t>
  </si>
  <si>
    <t>Пружина OD8мм L25мм</t>
  </si>
  <si>
    <t>Лист 300х400мм АМг2 4мм</t>
  </si>
  <si>
    <t>Prutki</t>
  </si>
  <si>
    <t>Под изготовление пластины стола. Обратите внимание, что заготовки почти всегда идут с припуском и ортогональность сторон под вопросом. Поэтому надо будет не только просверлить, но и отрезать лишнее</t>
  </si>
  <si>
    <t>Лист 400х450мм АМг2 4мм</t>
  </si>
  <si>
    <t>Лист 500х550мм АМг2 4мм</t>
  </si>
  <si>
    <t>Силиконовая грелка 400х250мм</t>
  </si>
  <si>
    <t>Силиконовая грелка 400х400мм</t>
  </si>
  <si>
    <t>Силиконовая грелка 500х500мм</t>
  </si>
  <si>
    <t>Адгезивный лист с PEI 400х300мм</t>
  </si>
  <si>
    <t>TLGRM</t>
  </si>
  <si>
    <t>Магнитную наклейку придётся искать и покупать самостоятельно. Пока не удалось договориться с магазинами о готовых лотах</t>
  </si>
  <si>
    <t>Адгезивный лист с PEI 400х450мм</t>
  </si>
  <si>
    <t>Адгезивный лист с PEI 500х550мм</t>
  </si>
  <si>
    <t>BTT Octopus Pro H723</t>
  </si>
  <si>
    <t>BTT TMC2240</t>
  </si>
  <si>
    <t>BTT Pi V1.2</t>
  </si>
  <si>
    <t>Можно заменить на другую пишку. В таком случае не забудьте заказать блок питания 5в 3+А</t>
  </si>
  <si>
    <t>Fysetc H36</t>
  </si>
  <si>
    <t>BTT HDMI7</t>
  </si>
  <si>
    <t>Блок питания LRS-350-24</t>
  </si>
  <si>
    <t>ChipDip</t>
  </si>
  <si>
    <t>SSR-35DA dual channel</t>
  </si>
  <si>
    <t>WAGO 222-415</t>
  </si>
  <si>
    <t>VI</t>
  </si>
  <si>
    <t>Концевик YD-003</t>
  </si>
  <si>
    <t>DIN рейка 600мм</t>
  </si>
  <si>
    <t>DIN рейка 700мм</t>
  </si>
  <si>
    <t>Вентилятор 200х200мм</t>
  </si>
  <si>
    <t>ws7040 24в с драйвером</t>
  </si>
  <si>
    <t>Шланг CPAP ID15мм 1800мм</t>
  </si>
  <si>
    <t>Светодиодная лента 24в 1м</t>
  </si>
  <si>
    <t>Щетки Snapmaker U1</t>
  </si>
  <si>
    <t>PTFE трубка 2х4мм</t>
  </si>
  <si>
    <t>Пружинная проволока D1.0мм 5м</t>
  </si>
  <si>
    <t>Фиттинг</t>
  </si>
  <si>
    <t>Пружина OD5 ID3 L10</t>
  </si>
  <si>
    <t>Для установки экрана. Не обязательны, можно собирать всё и без них</t>
  </si>
  <si>
    <t>Уплотнитель 8х3</t>
  </si>
  <si>
    <t>Стандарт</t>
  </si>
  <si>
    <t>Резьба / Диаметр</t>
  </si>
  <si>
    <t>Длина / Толщина</t>
  </si>
  <si>
    <t>Кол-во М</t>
  </si>
  <si>
    <t>Кол-во L</t>
  </si>
  <si>
    <t>Кол-во XL</t>
  </si>
  <si>
    <t>Кол-во без запаса</t>
  </si>
  <si>
    <t>Кол-во</t>
  </si>
  <si>
    <t>Ссылка</t>
  </si>
  <si>
    <t>Подшипник 623</t>
  </si>
  <si>
    <t>Подшипник F623</t>
  </si>
  <si>
    <t>Подшипник 608</t>
  </si>
  <si>
    <t>Подшипник F688</t>
  </si>
  <si>
    <t>Вплавляемая резьбовая втулка</t>
  </si>
  <si>
    <t>M3</t>
  </si>
  <si>
    <t>-||- под литьё</t>
  </si>
  <si>
    <t>DIN 934</t>
  </si>
  <si>
    <t>Гайка шестигранная</t>
  </si>
  <si>
    <t>Grover</t>
  </si>
  <si>
    <t>M4</t>
  </si>
  <si>
    <t>Пазовая гайка с подпружиненным шариком</t>
  </si>
  <si>
    <t>PCHSN</t>
  </si>
  <si>
    <t>Стойка для печатных плат</t>
  </si>
  <si>
    <t>Шайба 3x6x0.6</t>
  </si>
  <si>
    <t>Шайба 6x18x1.8</t>
  </si>
  <si>
    <t>Шайба 8x12x1</t>
  </si>
  <si>
    <t>OZON</t>
  </si>
  <si>
    <t>Магнит 10x5x1</t>
  </si>
  <si>
    <t>DIN 912</t>
  </si>
  <si>
    <t>Винт с цилиндрической головкой и шестигранным углублением под ключ</t>
  </si>
  <si>
    <t>M2</t>
  </si>
  <si>
    <t>M2.5</t>
  </si>
  <si>
    <t>ISO 7380-1</t>
  </si>
  <si>
    <t>Винт с полукруглой головкой и шестигранным углублением под ключ</t>
  </si>
  <si>
    <t>M6</t>
  </si>
  <si>
    <t>ISO 7380-2</t>
  </si>
  <si>
    <t>-||- с пресс-шайбой</t>
  </si>
  <si>
    <t>DIN 7991</t>
  </si>
  <si>
    <t>Винт с потайной головкой и шестигранным углублением под ключ</t>
  </si>
  <si>
    <t>Обозначение</t>
  </si>
  <si>
    <t>Объём, см³</t>
  </si>
  <si>
    <t>Вкл.</t>
  </si>
  <si>
    <t>Суммарный объём, см³</t>
  </si>
  <si>
    <t>Материал</t>
  </si>
  <si>
    <t>Суммарная стоимость</t>
  </si>
  <si>
    <t>V9-1111</t>
  </si>
  <si>
    <t>Y axis carriage body</t>
  </si>
  <si>
    <t>V9-1111(R)</t>
  </si>
  <si>
    <t>V9-11411</t>
  </si>
  <si>
    <t>Microfeeder front</t>
  </si>
  <si>
    <t>V9-11411(R)</t>
  </si>
  <si>
    <t>V9-11412</t>
  </si>
  <si>
    <t>Microfeeder back</t>
  </si>
  <si>
    <t>V9-11412(R)</t>
  </si>
  <si>
    <t>V9-11413</t>
  </si>
  <si>
    <t>Microfeeder lever</t>
  </si>
  <si>
    <t>V9-11413(R)</t>
  </si>
  <si>
    <t>V9-1142(B)</t>
  </si>
  <si>
    <t>Bereza body (Goliath 4020)</t>
  </si>
  <si>
    <t>V9-1142(D)</t>
  </si>
  <si>
    <t>Bereza body (Goliath 4010)</t>
  </si>
  <si>
    <t>V9-1143(L)</t>
  </si>
  <si>
    <t>Bereza carriage</t>
  </si>
  <si>
    <t>V9-1143(R)</t>
  </si>
  <si>
    <t>V9-1144</t>
  </si>
  <si>
    <t>Bereza roller spacer</t>
  </si>
  <si>
    <t>Bereza fan duct (Goliath 7040)</t>
  </si>
  <si>
    <t>V9-11521</t>
  </si>
  <si>
    <t>Bereza Goliath nozzle cleaner body</t>
  </si>
  <si>
    <t>V9-11521(R)</t>
  </si>
  <si>
    <t>V9-121</t>
  </si>
  <si>
    <t>XY drive body</t>
  </si>
  <si>
    <t>V9-122</t>
  </si>
  <si>
    <t>V9-131</t>
  </si>
  <si>
    <t>WY drive body</t>
  </si>
  <si>
    <t>V9-141</t>
  </si>
  <si>
    <t>Left belt tensioner body</t>
  </si>
  <si>
    <t>V9-1421</t>
  </si>
  <si>
    <t>V9-1431</t>
  </si>
  <si>
    <t>V9-1432</t>
  </si>
  <si>
    <t>V9-144</t>
  </si>
  <si>
    <t>V9-146</t>
  </si>
  <si>
    <t>Left belt tensioner front holes cover</t>
  </si>
  <si>
    <t>V9-151</t>
  </si>
  <si>
    <t>Right belt tensioner body</t>
  </si>
  <si>
    <t>V9-152</t>
  </si>
  <si>
    <t>Right belt tensioner front holes cover</t>
  </si>
  <si>
    <t>V9-171</t>
  </si>
  <si>
    <t>Portal auxiliary beam mount body</t>
  </si>
  <si>
    <t>V9-211</t>
  </si>
  <si>
    <t>Lower frame strengthener body</t>
  </si>
  <si>
    <t>V9-221</t>
  </si>
  <si>
    <t>Foot body</t>
  </si>
  <si>
    <t>V9-231</t>
  </si>
  <si>
    <t>Auxiliary beam mount body</t>
  </si>
  <si>
    <t>V9-3111</t>
  </si>
  <si>
    <t>Lead screw mount</t>
  </si>
  <si>
    <t>V9-3121</t>
  </si>
  <si>
    <t>Z rollers mount body</t>
  </si>
  <si>
    <t>V9-3131</t>
  </si>
  <si>
    <t>Z belt tensioner slider</t>
  </si>
  <si>
    <t>V9-3132</t>
  </si>
  <si>
    <t>Z belt tensioner mount</t>
  </si>
  <si>
    <t>V9-3133</t>
  </si>
  <si>
    <t>Z belt tensioner cover</t>
  </si>
  <si>
    <t>V9-3211</t>
  </si>
  <si>
    <t>Bed arm end</t>
  </si>
  <si>
    <t>V9-3212</t>
  </si>
  <si>
    <t>Bed arm knob</t>
  </si>
  <si>
    <t>V9-3221</t>
  </si>
  <si>
    <t>2020 to 2020 corner body</t>
  </si>
  <si>
    <t>V9-324</t>
  </si>
  <si>
    <t>Heatbed frame safety corner (2 guides)</t>
  </si>
  <si>
    <t>V9-325</t>
  </si>
  <si>
    <t>2020 T-slot cap</t>
  </si>
  <si>
    <t>V9-326</t>
  </si>
  <si>
    <t>Heatbed frame corner cap (4 guides)</t>
  </si>
  <si>
    <t>V9-341</t>
  </si>
  <si>
    <t>Cable chain link</t>
  </si>
  <si>
    <t>V9-342</t>
  </si>
  <si>
    <t>Cable chain heatbead frame mount</t>
  </si>
  <si>
    <t>V9-343</t>
  </si>
  <si>
    <t>Cable chain middle panel mount</t>
  </si>
  <si>
    <t>V9-344</t>
  </si>
  <si>
    <t>Cable chain mount cover</t>
  </si>
  <si>
    <t>V9-351</t>
  </si>
  <si>
    <t>V9-4151(L)</t>
  </si>
  <si>
    <t>Front door hinge part A</t>
  </si>
  <si>
    <t>V9-4151(R)</t>
  </si>
  <si>
    <t>V9-4152(L)</t>
  </si>
  <si>
    <t>Front door hinge part B</t>
  </si>
  <si>
    <t>V9-4152(R)</t>
  </si>
  <si>
    <t>V9-433(L)</t>
  </si>
  <si>
    <t>Enclosure back door lock</t>
  </si>
  <si>
    <t>V9-433(R)</t>
  </si>
  <si>
    <t>V9-434</t>
  </si>
  <si>
    <t>200mm fan grill</t>
  </si>
  <si>
    <t>V9-435</t>
  </si>
  <si>
    <t>200mm fan grill logo</t>
  </si>
  <si>
    <t>V9-4361</t>
  </si>
  <si>
    <t>Back door hinge part A</t>
  </si>
  <si>
    <t>V9-4362</t>
  </si>
  <si>
    <t>Back door hinge part B</t>
  </si>
  <si>
    <t>V9-442</t>
  </si>
  <si>
    <t>Portal panels front center cover</t>
  </si>
  <si>
    <t>V9-443(ML)</t>
  </si>
  <si>
    <t>Portal panels front cover</t>
  </si>
  <si>
    <t>V9-443(MR)</t>
  </si>
  <si>
    <t>V9-443(XLL)</t>
  </si>
  <si>
    <t>V9-443(XLR)</t>
  </si>
  <si>
    <t>V9-4441</t>
  </si>
  <si>
    <t>Portal panels back center cover base</t>
  </si>
  <si>
    <t>V9-445(M)</t>
  </si>
  <si>
    <t>Portal panels back cover</t>
  </si>
  <si>
    <t>V9-445(XL)</t>
  </si>
  <si>
    <t>V9-447</t>
  </si>
  <si>
    <t>Belt protector</t>
  </si>
  <si>
    <t>V9-452</t>
  </si>
  <si>
    <t>Lower panel cable hole cover</t>
  </si>
  <si>
    <t>V9-462(L)</t>
  </si>
  <si>
    <t>Enclosure side panel motor cover</t>
  </si>
  <si>
    <t>V9-462(R)</t>
  </si>
  <si>
    <t>Enclosure side panel lower cover</t>
  </si>
  <si>
    <t>V9-465</t>
  </si>
  <si>
    <t>Enclosure side panel handle</t>
  </si>
  <si>
    <t>V9-4714</t>
  </si>
  <si>
    <t>Enclosure top upper corner</t>
  </si>
  <si>
    <t>V9-4715(B)</t>
  </si>
  <si>
    <t>Enclosure top hinge moving part</t>
  </si>
  <si>
    <t>V9-4715(F)</t>
  </si>
  <si>
    <t>V9-4716</t>
  </si>
  <si>
    <t>Enclosure top lower corner</t>
  </si>
  <si>
    <t>V9-4717</t>
  </si>
  <si>
    <t>Enclosure top handle</t>
  </si>
  <si>
    <t>V9-4718(B)</t>
  </si>
  <si>
    <t>Enclosure top hinge moving part cover</t>
  </si>
  <si>
    <t>V9-4718(F)</t>
  </si>
  <si>
    <t>V9-4721</t>
  </si>
  <si>
    <t>Enclosure top hinge mount</t>
  </si>
  <si>
    <t>V9-481(M)</t>
  </si>
  <si>
    <t>Skirt front left part</t>
  </si>
  <si>
    <t>V9-481(XL)</t>
  </si>
  <si>
    <t>V9-482(M)</t>
  </si>
  <si>
    <t>Skirt front right part</t>
  </si>
  <si>
    <t>V9-482(XL)</t>
  </si>
  <si>
    <t>V9-511(L)</t>
  </si>
  <si>
    <t>V9-511(R)</t>
  </si>
  <si>
    <t>AC socket mount body</t>
  </si>
  <si>
    <t>V9-5211</t>
  </si>
  <si>
    <t>DIN rail mount</t>
  </si>
  <si>
    <t>V9-531</t>
  </si>
  <si>
    <t>LRS 200+ vertical mount</t>
  </si>
  <si>
    <t>V9-5411</t>
  </si>
  <si>
    <t>BTT Octopus DIN rail mount</t>
  </si>
  <si>
    <t>V9-551</t>
  </si>
  <si>
    <t>SSR DIN rail mount</t>
  </si>
  <si>
    <t>V9-561</t>
  </si>
  <si>
    <t>WAGO 222-415 x3 mount</t>
  </si>
  <si>
    <t>V9-562</t>
  </si>
  <si>
    <t>WAGO 222-415 x3 base</t>
  </si>
  <si>
    <t>V9-563</t>
  </si>
  <si>
    <t>WAGO 222-415 x3 cover</t>
  </si>
  <si>
    <t>V9-571</t>
  </si>
  <si>
    <t>Pi DIN rail mount (BTT Pi or RPi)</t>
  </si>
  <si>
    <t>V9-581</t>
  </si>
  <si>
    <t>ws7040 diver DIN rail mount</t>
  </si>
  <si>
    <t>V9-582</t>
  </si>
  <si>
    <t>ws7040 driver spacer</t>
  </si>
  <si>
    <t>V9-591</t>
  </si>
  <si>
    <t>BTT HDMI7 case</t>
  </si>
  <si>
    <t>V9-592</t>
  </si>
  <si>
    <t>BTT HDMI7 hinge</t>
  </si>
  <si>
    <t>V9-593</t>
  </si>
  <si>
    <t>BTT HDMI7 mount</t>
  </si>
  <si>
    <t>V9-594</t>
  </si>
  <si>
    <t>Portal front center part for BTT HDMI7</t>
  </si>
  <si>
    <t>V9-5A</t>
  </si>
  <si>
    <t>Cable mount</t>
  </si>
  <si>
    <t>V9-6111</t>
  </si>
  <si>
    <t>Spool holder roller body</t>
  </si>
  <si>
    <t>V9-612</t>
  </si>
  <si>
    <t>Spool holder mount</t>
  </si>
  <si>
    <t>V9-612(R)</t>
  </si>
  <si>
    <t>V9-613</t>
  </si>
  <si>
    <t>Spool holder base</t>
  </si>
  <si>
    <t>V9-613(R)</t>
  </si>
  <si>
    <t>V9-621</t>
  </si>
  <si>
    <t>ws7040 damper</t>
  </si>
  <si>
    <t>V9-622</t>
  </si>
  <si>
    <t>ws7040 mount</t>
  </si>
  <si>
    <t>V9-623</t>
  </si>
  <si>
    <t>ws7040 splitter</t>
  </si>
  <si>
    <t>V9-624</t>
  </si>
  <si>
    <t>PTFE tube Y joiner</t>
  </si>
  <si>
    <t>V9-625</t>
  </si>
  <si>
    <t>ws7040 mount ring</t>
  </si>
  <si>
    <t>V9-71</t>
  </si>
  <si>
    <t>X beam drilling jig</t>
  </si>
  <si>
    <t>V9-72</t>
  </si>
  <si>
    <t>2060 drilling jig</t>
  </si>
  <si>
    <t>V9-73</t>
  </si>
  <si>
    <t>2020 drilling jig</t>
  </si>
  <si>
    <t>Тип</t>
  </si>
  <si>
    <t>Длина М</t>
  </si>
  <si>
    <t>Длина L</t>
  </si>
  <si>
    <t>Длина XL</t>
  </si>
  <si>
    <t>Длина</t>
  </si>
  <si>
    <t>Цена/мм</t>
  </si>
  <si>
    <t>Кол-во резов</t>
  </si>
  <si>
    <t>Цена реза</t>
  </si>
  <si>
    <t>Итого цена</t>
  </si>
  <si>
    <t>V9-18</t>
  </si>
  <si>
    <t>Portal longitudinal beam</t>
  </si>
  <si>
    <t>2060 T-slot</t>
  </si>
  <si>
    <t>СЗ</t>
  </si>
  <si>
    <t>V9-19</t>
  </si>
  <si>
    <t>Portal cross beam</t>
  </si>
  <si>
    <t>2020 T-slot</t>
  </si>
  <si>
    <t>V9-1A</t>
  </si>
  <si>
    <t>Portal auxiliary beam</t>
  </si>
  <si>
    <t>V9-24</t>
  </si>
  <si>
    <t>Corner post</t>
  </si>
  <si>
    <t>V9-25</t>
  </si>
  <si>
    <t>Z axis post</t>
  </si>
  <si>
    <t>2020 V-slot</t>
  </si>
  <si>
    <t>V9-26</t>
  </si>
  <si>
    <t>Frame auxiliary post</t>
  </si>
  <si>
    <t>V9-27</t>
  </si>
  <si>
    <t>Frame longitudinal beam</t>
  </si>
  <si>
    <t>V9-28</t>
  </si>
  <si>
    <t>Frame cross beam</t>
  </si>
  <si>
    <t>V9-327</t>
  </si>
  <si>
    <t>Heatbed frame cross beam</t>
  </si>
  <si>
    <t>V9-328</t>
  </si>
  <si>
    <t>Heatbed frame longitudinal beam</t>
  </si>
  <si>
    <t>V9-3213</t>
  </si>
  <si>
    <t>Bed arm beam</t>
  </si>
  <si>
    <t>V9-473</t>
  </si>
  <si>
    <t>Enclosure top post</t>
  </si>
  <si>
    <t>2020L.3C T-slot</t>
  </si>
  <si>
    <t>Единиц</t>
  </si>
  <si>
    <t>Коэфф. запаса</t>
  </si>
  <si>
    <t>Ед. / Длина</t>
  </si>
  <si>
    <t>Коэфф. курса</t>
  </si>
  <si>
    <t>Цена</t>
  </si>
  <si>
    <t>L</t>
  </si>
  <si>
    <t>XL</t>
  </si>
  <si>
    <t>Ед. баз.</t>
  </si>
  <si>
    <t>Ед. корр.</t>
  </si>
  <si>
    <t>Итого</t>
  </si>
  <si>
    <t>Провода</t>
  </si>
  <si>
    <t>Провод многожильный 26AWG</t>
  </si>
  <si>
    <t>Распределяйте по цветам как лично вам удобно. Если не знаете как удобно, то половину красного, половину чёрного</t>
  </si>
  <si>
    <t>Провод многожильный 20AWG</t>
  </si>
  <si>
    <t>Провод USB type-C – type-A</t>
  </si>
  <si>
    <t>Кабели для подключения экрана. Диаметр не более 5мм</t>
  </si>
  <si>
    <t>Провод HDMI-HDMI</t>
  </si>
  <si>
    <t>Разъёмы</t>
  </si>
  <si>
    <t>xh2.54 2-pin</t>
  </si>
  <si>
    <t>xh2.54 3-pin</t>
  </si>
  <si>
    <t>xh2.54 4-pin</t>
  </si>
  <si>
    <t>xh2.54 5-pin</t>
  </si>
  <si>
    <t>Пины для xh2.54 100шт</t>
  </si>
  <si>
    <t>ph2.0 2-pin</t>
  </si>
  <si>
    <t>ph2.0 3-pin</t>
  </si>
  <si>
    <t>ph2.0 4-pin</t>
  </si>
  <si>
    <t>Пины для ph2.0 100шт</t>
  </si>
  <si>
    <t>Розетка 220в 15А</t>
  </si>
  <si>
    <t>Для крупных размеров принтера, возможно, стоит поставить 2 розетки или одну, рассчитанную на больший ток</t>
  </si>
  <si>
    <t>Цена М</t>
  </si>
  <si>
    <t>Цена L</t>
  </si>
  <si>
    <t>Цена XL</t>
  </si>
  <si>
    <t>Основные несущие панели</t>
  </si>
  <si>
    <t>V9-421</t>
  </si>
  <si>
    <t>Enclosure middle panel</t>
  </si>
  <si>
    <t>АКП 4(±10%)мм</t>
  </si>
  <si>
    <t>Могут изготавливаться из АКП, алюминия или стали 4мм. По тестам, разницы в рабочих характеристиках принтера это не даёт</t>
  </si>
  <si>
    <t>V9-441</t>
  </si>
  <si>
    <t>Enclosure portal panel</t>
  </si>
  <si>
    <t>V9-451</t>
  </si>
  <si>
    <t>Enclosure lower panel</t>
  </si>
  <si>
    <t>Другие панели</t>
  </si>
  <si>
    <t>V9-411</t>
  </si>
  <si>
    <t>Enclosure front door</t>
  </si>
  <si>
    <t>ПК 4(±10%)мм</t>
  </si>
  <si>
    <t>V9-431</t>
  </si>
  <si>
    <t>Enclosure back panel</t>
  </si>
  <si>
    <t>При желании, можно изготовить из АКП, алюминия и т.д.</t>
  </si>
  <si>
    <t>V9-432</t>
  </si>
  <si>
    <t>Back door panel</t>
  </si>
  <si>
    <t>V9-461</t>
  </si>
  <si>
    <t>Enclosure side panel</t>
  </si>
  <si>
    <t>V9-4711</t>
  </si>
  <si>
    <t>Enclosure top upper panel</t>
  </si>
  <si>
    <t>V9-4712</t>
  </si>
  <si>
    <t>Enclosure top front panel</t>
  </si>
  <si>
    <t>V9-4713</t>
  </si>
  <si>
    <t>Enclosure top side panel</t>
  </si>
  <si>
    <t>Курс доллара на момент составления спецификации</t>
  </si>
  <si>
    <t>Z кольцевой мин. М</t>
  </si>
  <si>
    <t>Z кольцеовой макс. М</t>
  </si>
  <si>
    <t>Z кольцевой мин. L</t>
  </si>
  <si>
    <t>Z кольцеовой макс. L</t>
  </si>
  <si>
    <t>Z кольцевой мин. XL</t>
  </si>
  <si>
    <t>Z кольцеовой макс. XL</t>
  </si>
  <si>
    <t>Расчёт длины ремней</t>
  </si>
  <si>
    <t>Y один ремень М</t>
  </si>
  <si>
    <t>Y один ремень L</t>
  </si>
  <si>
    <t>Y один ремень XL</t>
  </si>
  <si>
    <t>XW один ремень M</t>
  </si>
  <si>
    <t>XW один ремень L</t>
  </si>
  <si>
    <t>XW один ремень XL</t>
  </si>
  <si>
    <t>Высоконагруженные</t>
  </si>
  <si>
    <t>Средне-нагруженные</t>
  </si>
  <si>
    <t>Ненагруженные</t>
  </si>
  <si>
    <t>Гибкие</t>
  </si>
  <si>
    <t>Параметры материалов для расчёта необходимого количества и общей стоимости филамента. Подробнее в инструкции по печати деталей</t>
  </si>
  <si>
    <t>Goliath + ALPS - экспериментальное сочетание. Устанавливать на свой страх и риск</t>
  </si>
  <si>
    <t>M - 400x250x250 мм | L - 400x400x400 мм | XL - 500x500x500 мм</t>
  </si>
  <si>
    <t>Курс доллара на момент сборки принтера</t>
  </si>
  <si>
    <t>Детали</t>
  </si>
  <si>
    <t>Область печати зависит от режима работы принтера. Реальный диапазон движения осей немного больше указанного.</t>
  </si>
  <si>
    <t>Расход филамента для деталей:</t>
  </si>
  <si>
    <t>Область печати по XY:</t>
  </si>
  <si>
    <t>Стоимость:</t>
  </si>
  <si>
    <t>├ Средне-нагруженные:</t>
  </si>
  <si>
    <t>├ Высоконагруженные:</t>
  </si>
  <si>
    <t>└ Гибкие:</t>
  </si>
  <si>
    <t>├ Ненагруженные:</t>
  </si>
  <si>
    <t>ед.XL</t>
  </si>
  <si>
    <t>ед.M</t>
  </si>
  <si>
    <t>ед.L</t>
  </si>
  <si>
    <t>Запас ремней</t>
  </si>
  <si>
    <t>Запас стандартных изделий</t>
  </si>
  <si>
    <t>Запас проводки</t>
  </si>
  <si>
    <t>Цена
итого</t>
  </si>
  <si>
    <t>Цена
ед.</t>
  </si>
  <si>
    <t>Множитель
курса</t>
  </si>
  <si>
    <t>ALPS Air</t>
  </si>
  <si>
    <t>Goliath Air</t>
  </si>
  <si>
    <t>Вентилятор 40х40х10мм 24в</t>
  </si>
  <si>
    <t>Берите вентиляторы, дающие высокое стат.давление. Если в документации не указано стат. давление, то выбирайте вентилятор с большим количеством лопастей и высокой скоростью вращения</t>
  </si>
  <si>
    <t>Часто режут криво или не в размер. Если есть возможность аккуратно порезать самому, то возьмите с запасом по длине и отрежьте в размер сами</t>
  </si>
  <si>
    <t>На момент составления спецификации, этот драйвер от BTT пропал из продажи. Можно взять 2240 от другого производителя или заменить на 2209/5160 и т.д. по вашему вкусу</t>
  </si>
  <si>
    <t>Fysetc H36 выбран за стойкость к повышенной температуре. Но вы можете установить и какую-нибудь другую, более дешёвую коммутационную плату на свой страх и риск</t>
  </si>
  <si>
    <t>Можно заменить на другую плату, если поправить конфиг под неё не будет для вас проблемой. Требования к материнской плате:
- Минимум 5 драйверов;
- Микроконтроллер STM32H723;
- Возможность USB-CAN Bridge, или придётся докупать адаптер.</t>
  </si>
  <si>
    <t>├ ├ Стол и механика оси Z:</t>
  </si>
  <si>
    <t>На столе рвёт и фазу, и нейтраль. На термокамере один канал управляет нагревателем, другой вентилятором</t>
  </si>
  <si>
    <t>Нагреватель CSP908-F2800</t>
  </si>
  <si>
    <t>Нагреватель термокамеры на 800Вт</t>
  </si>
  <si>
    <t>Термистор NTC100K B3950 M3</t>
  </si>
  <si>
    <t>Один для контроля температуры нагревателя, другой для воздуха в термокамере. Можно взять 104GT-2 или любой другой подобный термистор. Но тогда не забудьте в конфигурации исправить тип термистора</t>
  </si>
  <si>
    <t>Количество</t>
  </si>
  <si>
    <t>Масса</t>
  </si>
  <si>
    <t>V9-1142(E)</t>
  </si>
  <si>
    <t>Bereza body (Goliath ALPS 7040)</t>
  </si>
  <si>
    <t>Z carriage stop body</t>
  </si>
  <si>
    <t>V9-361</t>
  </si>
  <si>
    <t>Z axis carriage body</t>
  </si>
  <si>
    <t>V9-483</t>
  </si>
  <si>
    <t>Skirt front left part letters</t>
  </si>
  <si>
    <t>V9-631</t>
  </si>
  <si>
    <t>Chamer heater mount</t>
  </si>
  <si>
    <t>V9-632</t>
  </si>
  <si>
    <t>Chamber heater cable guide</t>
  </si>
  <si>
    <t>Тип детали</t>
  </si>
  <si>
    <t>Высоконагруженная</t>
  </si>
  <si>
    <t>Стоимость 1г</t>
  </si>
  <si>
    <t>Версия для совместимости с 4020 вентиляторами. Не подходит для ALPS</t>
  </si>
  <si>
    <t>V9-11461(L)</t>
  </si>
  <si>
    <t>V9-11461(R)</t>
  </si>
  <si>
    <t>У этих деталей есть как версии, печатаемые зацело (full), так и разбитые на простые в печати части (part*)</t>
  </si>
  <si>
    <t>Средне-нагруженная</t>
  </si>
  <si>
    <t>Ненагруженная</t>
  </si>
  <si>
    <t>XY drive belt plunger</t>
  </si>
  <si>
    <t>Roller tensioner body</t>
  </si>
  <si>
    <t>Take-up tensioner body</t>
  </si>
  <si>
    <t>Tube-guide версия является экспериментальной. Теоретически, должна легче ходить в корпусе натяжителя. Rib-guide - старая версия</t>
  </si>
  <si>
    <t>По проекту нужна 1.5GT версия</t>
  </si>
  <si>
    <t>Belt tensioner clamp</t>
  </si>
  <si>
    <t>Take-up tensioner anchor</t>
  </si>
  <si>
    <t>Гибкая</t>
  </si>
  <si>
    <t>Одна обычная, одна зеркальная</t>
  </si>
  <si>
    <t>V9-463(L)</t>
  </si>
  <si>
    <t>V9-463(R)</t>
  </si>
  <si>
    <t>Надо выбрать исполнения этих деталей в зависимости от того, на какую сторону принтера вы хотите вывести вводной разъём</t>
  </si>
  <si>
    <t>Расчёт количества необходимого филамента. Особенности:
- Не учитывается запас на поддержки, неудачную печать и т.д.;
- Плотность заполнения всех деталей в расчёте 100%
Реальные траты материала для средне-нагруженных и ненагруженных деталей будет заметно ниже</t>
  </si>
  <si>
    <t>ед./
длина</t>
  </si>
  <si>
    <t>GX16-4</t>
  </si>
  <si>
    <t>GX16-8</t>
  </si>
  <si>
    <t>Для подключения печатных голов</t>
  </si>
  <si>
    <t>Для подключения ws7040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</si>
</sst>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General&quot; мм&quot;"/>
    <numFmt numFmtId="165" formatCode="0&quot; г&quot;"/>
    <numFmt numFmtId="166" formatCode="#,##0\ [$₽-419];\-#,##0\ [$₽-419]"/>
    <numFmt numFmtId="167" formatCode="#,##0.00\ [$₽-419];\-#,##0.00\ [$₽-419]"/>
    <numFmt numFmtId="168" formatCode="\МGeneral"/>
    <numFmt numFmtId="169" formatCode="#,##0\ [$₽-419];[Red]\-#,##0\ [$₽-419]"/>
    <numFmt numFmtId="170" formatCode="_-* #,##0\ [$₽-419]_-;\-* #,##0\ [$₽-419]_-;_-* &quot;-&quot;??\ [$₽-419]_-;_-@_-"/>
    <numFmt numFmtId="171" formatCode="0.00&quot; г/см³&quot;"/>
    <numFmt numFmtId="172" formatCode="0.00&quot; р/$&quot;"/>
    <numFmt numFmtId="173" formatCode="#,##0.00\ &quot;₽&quot;"/>
    <numFmt numFmtId="174" formatCode="#,##0\ &quot;₽&quot;"/>
  </numFmts>
  <fonts count="8" x14ac:knownFonts="1">
    <font>
      <sz val="10"/>
      <name val="Courier New"/>
      <family val="3"/>
      <charset val="204"/>
    </font>
    <font>
      <strike/>
      <sz val="10"/>
      <color rgb="FFCCCCCC"/>
      <name val="Courier New"/>
      <family val="3"/>
      <charset val="204"/>
    </font>
    <font>
      <b/>
      <sz val="10"/>
      <name val="Courier New"/>
      <family val="3"/>
      <charset val="204"/>
    </font>
    <font>
      <sz val="10"/>
      <name val="Cascadia Code"/>
      <family val="3"/>
      <charset val="204"/>
    </font>
    <font>
      <b/>
      <sz val="11"/>
      <name val="Cascadia Code"/>
      <family val="3"/>
      <charset val="204"/>
    </font>
    <font>
      <sz val="11"/>
      <name val="Cascadia Code"/>
      <family val="3"/>
      <charset val="204"/>
    </font>
    <font>
      <sz val="11"/>
      <color rgb="FF0000FF"/>
      <name val="Cascadia Code"/>
      <family val="3"/>
      <charset val="204"/>
    </font>
    <font>
      <sz val="10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CCCC"/>
      </patternFill>
    </fill>
    <fill>
      <patternFill patternType="solid">
        <fgColor rgb="FFEEEEEE"/>
        <bgColor rgb="FFFFFFFF"/>
      </patternFill>
    </fill>
    <fill>
      <patternFill patternType="solid">
        <fgColor rgb="FFFFFFFF"/>
        <bgColor rgb="FFEEEEEE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 applyAlignment="0" applyProtection="0"/>
    <xf numFmtId="9" fontId="7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Font="1" applyAlignment="1">
      <alignment horizontal="left" vertical="center" wrapText="1" indent="1"/>
    </xf>
    <xf numFmtId="167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0" fontId="0" fillId="0" borderId="0" xfId="0" applyNumberFormat="1"/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inden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170" fontId="5" fillId="4" borderId="1" xfId="0" applyNumberFormat="1" applyFont="1" applyFill="1" applyBorder="1" applyAlignment="1">
      <alignment vertical="center"/>
    </xf>
    <xf numFmtId="171" fontId="5" fillId="4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6" fontId="5" fillId="4" borderId="1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167" fontId="5" fillId="4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vertical="center"/>
    </xf>
    <xf numFmtId="167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 indent="1"/>
    </xf>
    <xf numFmtId="168" fontId="5" fillId="4" borderId="1" xfId="0" applyNumberFormat="1" applyFont="1" applyFill="1" applyBorder="1" applyAlignment="1">
      <alignment horizontal="center" vertical="center"/>
    </xf>
    <xf numFmtId="167" fontId="5" fillId="4" borderId="1" xfId="0" applyNumberFormat="1" applyFont="1" applyFill="1" applyBorder="1" applyAlignment="1">
      <alignment horizontal="right" vertical="center"/>
    </xf>
    <xf numFmtId="166" fontId="5" fillId="4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4" borderId="1" xfId="0" applyFont="1" applyFill="1" applyBorder="1"/>
    <xf numFmtId="164" fontId="5" fillId="4" borderId="1" xfId="0" applyNumberFormat="1" applyFont="1" applyFill="1" applyBorder="1"/>
    <xf numFmtId="16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6" fontId="5" fillId="4" borderId="1" xfId="0" applyNumberFormat="1" applyFont="1" applyFill="1" applyBorder="1"/>
    <xf numFmtId="0" fontId="6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1" xfId="0" applyFont="1" applyBorder="1"/>
    <xf numFmtId="9" fontId="5" fillId="4" borderId="1" xfId="2" applyFont="1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173" fontId="5" fillId="4" borderId="1" xfId="0" applyNumberFormat="1" applyFont="1" applyFill="1" applyBorder="1" applyAlignment="1">
      <alignment horizontal="center" vertical="center"/>
    </xf>
    <xf numFmtId="174" fontId="4" fillId="2" borderId="1" xfId="0" applyNumberFormat="1" applyFont="1" applyFill="1" applyBorder="1" applyAlignment="1">
      <alignment horizontal="center" vertical="center"/>
    </xf>
    <xf numFmtId="174" fontId="5" fillId="4" borderId="1" xfId="0" applyNumberFormat="1" applyFont="1" applyFill="1" applyBorder="1" applyAlignment="1">
      <alignment horizontal="center" vertical="center"/>
    </xf>
    <xf numFmtId="174" fontId="0" fillId="0" borderId="0" xfId="0" applyNumberFormat="1" applyFont="1" applyAlignment="1">
      <alignment horizontal="center" vertical="center"/>
    </xf>
    <xf numFmtId="9" fontId="5" fillId="4" borderId="1" xfId="0" applyNumberFormat="1" applyFont="1" applyFill="1" applyBorder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166" fontId="5" fillId="4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165" fontId="5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/>
    <xf numFmtId="165" fontId="5" fillId="4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172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5" fillId="4" borderId="1" xfId="0" applyFont="1" applyFill="1" applyBorder="1" applyAlignment="1">
      <alignment horizontal="center" vertical="center"/>
    </xf>
    <xf numFmtId="167" fontId="4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9" fontId="4" fillId="2" borderId="1" xfId="0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/>
    </xf>
    <xf numFmtId="174" fontId="4" fillId="2" borderId="1" xfId="0" applyNumberFormat="1" applyFont="1" applyFill="1" applyBorder="1" applyAlignment="1">
      <alignment horizontal="center" vertical="center" wrapText="1"/>
    </xf>
    <xf numFmtId="9" fontId="4" fillId="2" borderId="1" xfId="2" applyFont="1" applyFill="1" applyBorder="1" applyAlignment="1">
      <alignment horizontal="center" vertical="center" wrapText="1"/>
    </xf>
    <xf numFmtId="9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Hidden" xfId="1" xr:uid="{00000000-0005-0000-0000-000006000000}"/>
    <cellStyle name="Обычный" xfId="0" builtinId="0"/>
    <cellStyle name="Процентный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Другая 1">
      <a:majorFont>
        <a:latin typeface="Cascadia Code"/>
        <a:ea typeface=""/>
        <a:cs typeface=""/>
      </a:majorFont>
      <a:minorFont>
        <a:latin typeface="Cascadia Code"/>
        <a:ea typeface=""/>
        <a:cs typeface="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ali.click/qzc3f19?erid=2SDnjcM3Ff8" TargetMode="External"/><Relationship Id="rId18" Type="http://schemas.openxmlformats.org/officeDocument/2006/relationships/hyperlink" Target="https://alli.pub/76gpvl?erid=2SDnje5QDnk" TargetMode="External"/><Relationship Id="rId26" Type="http://schemas.openxmlformats.org/officeDocument/2006/relationships/hyperlink" Target="http://prutki.ru/list-alyuminievyj-amg2-tolshchina-4-mm/" TargetMode="External"/><Relationship Id="rId39" Type="http://schemas.openxmlformats.org/officeDocument/2006/relationships/hyperlink" Target="https://www.vseinstrumenti.ru/product/klemma-wago-222-415-5-sht-2552-843136/" TargetMode="External"/><Relationship Id="rId21" Type="http://schemas.openxmlformats.org/officeDocument/2006/relationships/hyperlink" Target="https://ali.click/wjl4qf?erid=2SDnjea2nnj" TargetMode="External"/><Relationship Id="rId34" Type="http://schemas.openxmlformats.org/officeDocument/2006/relationships/hyperlink" Target="https://ali.click/zn1cf12?erid=2SDnjc5qtKk" TargetMode="External"/><Relationship Id="rId42" Type="http://schemas.openxmlformats.org/officeDocument/2006/relationships/hyperlink" Target="https://www.vseinstrumenti.ru/product/din-rejka-rexant-80sm-perforirovannaya-otsinkovannaya-12-8080-11535290/" TargetMode="External"/><Relationship Id="rId47" Type="http://schemas.openxmlformats.org/officeDocument/2006/relationships/hyperlink" Target="https://ali.click/sxt3f1a?erid=2SDnjeTTH9k" TargetMode="External"/><Relationship Id="rId50" Type="http://schemas.openxmlformats.org/officeDocument/2006/relationships/hyperlink" Target="https://alli.pub/76f1po?erid=2SDnjeQoSpU" TargetMode="External"/><Relationship Id="rId55" Type="http://schemas.openxmlformats.org/officeDocument/2006/relationships/hyperlink" Target="https://alli.pub/76ksj5?erid=2SDnjf2gdcY" TargetMode="External"/><Relationship Id="rId7" Type="http://schemas.openxmlformats.org/officeDocument/2006/relationships/hyperlink" Target="https://www.ozon.ru/product/truba-profilnaya-kvadratnaya-20h20h2-500-mm-0-5-metra-1299392339/?at=jYtZolxklh4GE3ADc53W33VTKE8lYXSQM9jN5frnyMY2&amp;from_sku=1299394526&amp;oos_search=false" TargetMode="External"/><Relationship Id="rId2" Type="http://schemas.openxmlformats.org/officeDocument/2006/relationships/hyperlink" Target="https://ali.click/anvbf17?erid=2SDnjdTsY8i" TargetMode="External"/><Relationship Id="rId16" Type="http://schemas.openxmlformats.org/officeDocument/2006/relationships/hyperlink" Target="https://ali.click/qzc3f19?erid=2SDnjcM3Ff8" TargetMode="External"/><Relationship Id="rId29" Type="http://schemas.openxmlformats.org/officeDocument/2006/relationships/hyperlink" Target="https://alli.pub/76kssh?erid=2SDnjcDdLYL" TargetMode="External"/><Relationship Id="rId11" Type="http://schemas.openxmlformats.org/officeDocument/2006/relationships/hyperlink" Target="https://alli.pub/76ksj5?erid=2SDnjf2gdcY" TargetMode="External"/><Relationship Id="rId24" Type="http://schemas.openxmlformats.org/officeDocument/2006/relationships/hyperlink" Target="http://prutki.ru/list-alyuminievyj-amg2-tolshchina-4-mm/" TargetMode="External"/><Relationship Id="rId32" Type="http://schemas.openxmlformats.org/officeDocument/2006/relationships/hyperlink" Target="http://t.me/Itdranikk" TargetMode="External"/><Relationship Id="rId37" Type="http://schemas.openxmlformats.org/officeDocument/2006/relationships/hyperlink" Target="https://www.chipdip.ru/product/lrs-350-24" TargetMode="External"/><Relationship Id="rId40" Type="http://schemas.openxmlformats.org/officeDocument/2006/relationships/hyperlink" Target="https://alli.pub/76c6h2?erid=2SDnjced1UQ" TargetMode="External"/><Relationship Id="rId45" Type="http://schemas.openxmlformats.org/officeDocument/2006/relationships/hyperlink" Target="https://ali.click/emt3f1m?erid=2SDnjdb3ha2" TargetMode="External"/><Relationship Id="rId53" Type="http://schemas.openxmlformats.org/officeDocument/2006/relationships/hyperlink" Target="https://ali.click/y1g4j1u?erid=2SDnjc46MFy" TargetMode="External"/><Relationship Id="rId58" Type="http://schemas.openxmlformats.org/officeDocument/2006/relationships/hyperlink" Target="https://ali.click/zsh5j17" TargetMode="External"/><Relationship Id="rId5" Type="http://schemas.openxmlformats.org/officeDocument/2006/relationships/hyperlink" Target="https://ali.click/0eh4j1g?erid=2SDnjetfK2B" TargetMode="External"/><Relationship Id="rId19" Type="http://schemas.openxmlformats.org/officeDocument/2006/relationships/hyperlink" Target="https://alli.pub/76b2jj?erid=2SDnjeZzpsE" TargetMode="External"/><Relationship Id="rId4" Type="http://schemas.openxmlformats.org/officeDocument/2006/relationships/hyperlink" Target="https://alli.pub/76ar00?erid=2SDnjd4H7Xr" TargetMode="External"/><Relationship Id="rId9" Type="http://schemas.openxmlformats.org/officeDocument/2006/relationships/hyperlink" Target="https://alli.pub/76ksid?erid=2SDnjeeSpPN" TargetMode="External"/><Relationship Id="rId14" Type="http://schemas.openxmlformats.org/officeDocument/2006/relationships/hyperlink" Target="https://ali.click/9wd3f1m?erid=2SDnjekQ69Y" TargetMode="External"/><Relationship Id="rId22" Type="http://schemas.openxmlformats.org/officeDocument/2006/relationships/hyperlink" Target="https://ali.click/wjl4qf?erid=2SDnjea2nnj" TargetMode="External"/><Relationship Id="rId27" Type="http://schemas.openxmlformats.org/officeDocument/2006/relationships/hyperlink" Target="https://alli.pub/76kssh?erid=2SDnjcDdLYL" TargetMode="External"/><Relationship Id="rId30" Type="http://schemas.openxmlformats.org/officeDocument/2006/relationships/hyperlink" Target="http://t.me/Itdranikk" TargetMode="External"/><Relationship Id="rId35" Type="http://schemas.openxmlformats.org/officeDocument/2006/relationships/hyperlink" Target="https://ali.click/rp1cf1u?erid=2SDnjcAHrAn" TargetMode="External"/><Relationship Id="rId43" Type="http://schemas.openxmlformats.org/officeDocument/2006/relationships/hyperlink" Target="https://ali.click/aos3f1w?erid=2SDnjdtqDUE" TargetMode="External"/><Relationship Id="rId48" Type="http://schemas.openxmlformats.org/officeDocument/2006/relationships/hyperlink" Target="https://alli.pub/76jzdq?erid=2SDnjcAVxLk" TargetMode="External"/><Relationship Id="rId56" Type="http://schemas.openxmlformats.org/officeDocument/2006/relationships/hyperlink" Target="https://alli.pub/76ksj5?erid=2SDnjf2gdcY" TargetMode="External"/><Relationship Id="rId8" Type="http://schemas.openxmlformats.org/officeDocument/2006/relationships/hyperlink" Target="https://alli.pub/76ksid?erid=2SDnjeeSpPN" TargetMode="External"/><Relationship Id="rId51" Type="http://schemas.openxmlformats.org/officeDocument/2006/relationships/hyperlink" Target="https://ali.click/bjadf1g?erid=2SDnjeu7whL" TargetMode="External"/><Relationship Id="rId3" Type="http://schemas.openxmlformats.org/officeDocument/2006/relationships/hyperlink" Target="https://alli.pub/72s2xy?erid=2SDnjcHok9R" TargetMode="External"/><Relationship Id="rId12" Type="http://schemas.openxmlformats.org/officeDocument/2006/relationships/hyperlink" Target="https://alli.pub/76ksj5?erid=2SDnjf2gdcY" TargetMode="External"/><Relationship Id="rId17" Type="http://schemas.openxmlformats.org/officeDocument/2006/relationships/hyperlink" Target="https://alli.pub/76sg95?erid=2SDnje5J3Mo" TargetMode="External"/><Relationship Id="rId25" Type="http://schemas.openxmlformats.org/officeDocument/2006/relationships/hyperlink" Target="http://prutki.ru/list-alyuminievyj-amg2-tolshchina-4-mm/" TargetMode="External"/><Relationship Id="rId33" Type="http://schemas.openxmlformats.org/officeDocument/2006/relationships/hyperlink" Target="https://ali.click/icm4qo?erid=2SDnjeoP1om" TargetMode="External"/><Relationship Id="rId38" Type="http://schemas.openxmlformats.org/officeDocument/2006/relationships/hyperlink" Target="https://ali.click/75s3f1b?erid=2SDnjc8Y52S" TargetMode="External"/><Relationship Id="rId46" Type="http://schemas.openxmlformats.org/officeDocument/2006/relationships/hyperlink" Target="https://ali.click/jc19h12?erid=2SDnjefz1oy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ali.click/wjl4qf?erid=2SDnjea2nnj" TargetMode="External"/><Relationship Id="rId41" Type="http://schemas.openxmlformats.org/officeDocument/2006/relationships/hyperlink" Target="https://www.vseinstrumenti.ru/product/din-rejka-rexant-60sm-perforirovannaya-otsinkovannaya-12-8060-9683762/" TargetMode="External"/><Relationship Id="rId54" Type="http://schemas.openxmlformats.org/officeDocument/2006/relationships/hyperlink" Target="https://alli.pub/76ksj5?erid=2SDnjf2gdcY" TargetMode="External"/><Relationship Id="rId1" Type="http://schemas.openxmlformats.org/officeDocument/2006/relationships/hyperlink" Target="https://alli.pub/76b0v2?erid=2SDnjd5yXde" TargetMode="External"/><Relationship Id="rId6" Type="http://schemas.openxmlformats.org/officeDocument/2006/relationships/hyperlink" Target="https://ali.click/ipvbf16?erid=2SDnjdbHUYS" TargetMode="External"/><Relationship Id="rId15" Type="http://schemas.openxmlformats.org/officeDocument/2006/relationships/hyperlink" Target="https://ali.click/06e3f10?erid=2SDnjcXRW7U" TargetMode="External"/><Relationship Id="rId23" Type="http://schemas.openxmlformats.org/officeDocument/2006/relationships/hyperlink" Target="https://alli.pub/76c04s?erid=2SDnjcKBRqv" TargetMode="External"/><Relationship Id="rId28" Type="http://schemas.openxmlformats.org/officeDocument/2006/relationships/hyperlink" Target="https://alli.pub/76kssh?erid=2SDnjcDdLYL" TargetMode="External"/><Relationship Id="rId36" Type="http://schemas.openxmlformats.org/officeDocument/2006/relationships/hyperlink" Target="https://ali.click/ots3f1z?erid=2SDnjeCd4rN" TargetMode="External"/><Relationship Id="rId49" Type="http://schemas.openxmlformats.org/officeDocument/2006/relationships/hyperlink" Target="https://www.ozon.ru/product/provoloka-nerzhaveyushchaya-pruzhinnaya-1-0-mm-v-buhte-5-metrov-stal-12h18n10t-aisi-321-791917824/?at=QktJ10oK3cwMy2mliPRxwlxINGz1JJILYVOQZh2YWDom&amp;from_sku=826407242&amp;oos_search=false" TargetMode="External"/><Relationship Id="rId57" Type="http://schemas.openxmlformats.org/officeDocument/2006/relationships/hyperlink" Target="https://ali.click/9p15j1h?erid=2SDnjdzwV87" TargetMode="External"/><Relationship Id="rId10" Type="http://schemas.openxmlformats.org/officeDocument/2006/relationships/hyperlink" Target="https://alli.pub/76ksj5?erid=2SDnjf2gdcY" TargetMode="External"/><Relationship Id="rId31" Type="http://schemas.openxmlformats.org/officeDocument/2006/relationships/hyperlink" Target="http://t.me/Itdranikk" TargetMode="External"/><Relationship Id="rId44" Type="http://schemas.openxmlformats.org/officeDocument/2006/relationships/hyperlink" Target="https://alli.pub/76sga4?erid=2SDnjeV1qsK" TargetMode="External"/><Relationship Id="rId52" Type="http://schemas.openxmlformats.org/officeDocument/2006/relationships/hyperlink" Target="https://www.ozon.ru/product/uplotnitelnaya-lenta-dlya-varochnoy-paneli-8mm-3mm-2-5m-2063710853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grover-sk.ru/catalog/metizy/shayby/din_125/din_125_a2/shayby_m3/" TargetMode="External"/><Relationship Id="rId18" Type="http://schemas.openxmlformats.org/officeDocument/2006/relationships/hyperlink" Target="https://grover-sk.ru/catalog/metizy/vinty/din_912/din_912_a2/vinty_m25/" TargetMode="External"/><Relationship Id="rId26" Type="http://schemas.openxmlformats.org/officeDocument/2006/relationships/hyperlink" Target="https://grover-sk.ru/catalog/metizy/vinty/din_912/din_912_a2/vinty_m3/" TargetMode="External"/><Relationship Id="rId39" Type="http://schemas.openxmlformats.org/officeDocument/2006/relationships/hyperlink" Target="https://grover-sk.ru/catalog/metizy/vinty/din_7991/din_7991_8.8_ots/vinty_m4/" TargetMode="External"/><Relationship Id="rId21" Type="http://schemas.openxmlformats.org/officeDocument/2006/relationships/hyperlink" Target="https://grover-sk.ru/catalog/metizy/vinty/din_912/din_912_a2/vinty_m3/" TargetMode="External"/><Relationship Id="rId34" Type="http://schemas.openxmlformats.org/officeDocument/2006/relationships/hyperlink" Target="https://grover-sk.ru/catalog/metizy/vinty/iso_7380/iso_7380_10.9_fosf/vinty_m6/" TargetMode="External"/><Relationship Id="rId7" Type="http://schemas.openxmlformats.org/officeDocument/2006/relationships/hyperlink" Target="https://alli.pub/76ex40?erid=2SDnjeCd55W" TargetMode="External"/><Relationship Id="rId12" Type="http://schemas.openxmlformats.org/officeDocument/2006/relationships/hyperlink" Target="https://ali.click/bao8f19?erid=2SDnjcD6RAz" TargetMode="External"/><Relationship Id="rId17" Type="http://schemas.openxmlformats.org/officeDocument/2006/relationships/hyperlink" Target="https://grover-sk.ru/catalog/metizy/vinty/din_912/din_912_a2/vinty_m2/vinty_m2x8/" TargetMode="External"/><Relationship Id="rId25" Type="http://schemas.openxmlformats.org/officeDocument/2006/relationships/hyperlink" Target="https://grover-sk.ru/catalog/metizy/vinty/din_912/din_912_a2/vinty_m3/" TargetMode="External"/><Relationship Id="rId33" Type="http://schemas.openxmlformats.org/officeDocument/2006/relationships/hyperlink" Target="https://grover-sk.ru/catalog/metizy/vinty/iso_7380/iso_7380_10.9_fosf/vinty_m6/" TargetMode="External"/><Relationship Id="rId38" Type="http://schemas.openxmlformats.org/officeDocument/2006/relationships/hyperlink" Target="https://grover-sk.ru/catalog/metizy/vinty/din_7991/din_7991_a2/vinty_m3/" TargetMode="External"/><Relationship Id="rId2" Type="http://schemas.openxmlformats.org/officeDocument/2006/relationships/hyperlink" Target="https://ali.click/1gm8f1a?erid=2SDnje8G9P8" TargetMode="External"/><Relationship Id="rId16" Type="http://schemas.openxmlformats.org/officeDocument/2006/relationships/hyperlink" Target="https://ali.click/faq8f15?erid=2SDnjc5hVD4" TargetMode="External"/><Relationship Id="rId20" Type="http://schemas.openxmlformats.org/officeDocument/2006/relationships/hyperlink" Target="https://grover-sk.ru/catalog/metizy/vinty/din_912/din_912_a2/vinty_m3/" TargetMode="External"/><Relationship Id="rId29" Type="http://schemas.openxmlformats.org/officeDocument/2006/relationships/hyperlink" Target="https://grover-sk.ru/catalog/metizy/vinty/din_912/din_912_a4/vinty_m4/" TargetMode="External"/><Relationship Id="rId1" Type="http://schemas.openxmlformats.org/officeDocument/2006/relationships/hyperlink" Target="https://alli.pub/76f18d?erid=2SDnjeVDPmv" TargetMode="External"/><Relationship Id="rId6" Type="http://schemas.openxmlformats.org/officeDocument/2006/relationships/hyperlink" Target="https://ali.click/z6zaxv?erid=2SDnjeTr5A8" TargetMode="External"/><Relationship Id="rId11" Type="http://schemas.openxmlformats.org/officeDocument/2006/relationships/hyperlink" Target="https://alli.pub/76entd?erid=2SDnjdEehde" TargetMode="External"/><Relationship Id="rId24" Type="http://schemas.openxmlformats.org/officeDocument/2006/relationships/hyperlink" Target="https://grover-sk.ru/catalog/metizy/vinty/din_912/din_912_a2/vinty_m3/" TargetMode="External"/><Relationship Id="rId32" Type="http://schemas.openxmlformats.org/officeDocument/2006/relationships/hyperlink" Target="https://grover-sk.ru/catalog/metizy/vinty/iso_7380/iso_7380_10.9_fosf/vinty_m4/" TargetMode="External"/><Relationship Id="rId37" Type="http://schemas.openxmlformats.org/officeDocument/2006/relationships/hyperlink" Target="https://grover-sk.ru/catalog/metizy/vinty/din_7991/din_7991_a2/vinty_m3/" TargetMode="External"/><Relationship Id="rId5" Type="http://schemas.openxmlformats.org/officeDocument/2006/relationships/hyperlink" Target="https://ali.click/z6zaxv?erid=2SDnjeTr5A8" TargetMode="External"/><Relationship Id="rId15" Type="http://schemas.openxmlformats.org/officeDocument/2006/relationships/hyperlink" Target="https://www.ozon.ru/product/shayba-alyuminievaya-8h12h1-0-10-sht-2855210596/?at=oZt6RZ9YYIG40kJCVE5n6PtNNmmAku0mQDXNs62Kwp2" TargetMode="External"/><Relationship Id="rId23" Type="http://schemas.openxmlformats.org/officeDocument/2006/relationships/hyperlink" Target="https://grover-sk.ru/catalog/metizy/vinty/din_912/din_912_a2/vinty_m3/" TargetMode="External"/><Relationship Id="rId28" Type="http://schemas.openxmlformats.org/officeDocument/2006/relationships/hyperlink" Target="https://grover-sk.ru/catalog/metizy/vinty/din_912/din_912_a2/vinty_m3/" TargetMode="External"/><Relationship Id="rId36" Type="http://schemas.openxmlformats.org/officeDocument/2006/relationships/hyperlink" Target="https://grover-sk.ru/catalog/metizy/vinty/din_7991/din_7991_a2/vinty_m3/" TargetMode="External"/><Relationship Id="rId10" Type="http://schemas.openxmlformats.org/officeDocument/2006/relationships/hyperlink" Target="https://alli.pub/76entd?erid=2SDnjdEehde" TargetMode="External"/><Relationship Id="rId19" Type="http://schemas.openxmlformats.org/officeDocument/2006/relationships/hyperlink" Target="https://grover-sk.ru/catalog/metizy/vinty/din_912/din_912_a2/vinty_m3/" TargetMode="External"/><Relationship Id="rId31" Type="http://schemas.openxmlformats.org/officeDocument/2006/relationships/hyperlink" Target="https://grover-sk.ru/catalog/metizy/vinty/iso_7380/iso_7380_10.9_fosf/vinty_m3/" TargetMode="External"/><Relationship Id="rId4" Type="http://schemas.openxmlformats.org/officeDocument/2006/relationships/hyperlink" Target="https://ali.click/2lm8f1n?erid=2SDnjeiMrs4" TargetMode="External"/><Relationship Id="rId9" Type="http://schemas.openxmlformats.org/officeDocument/2006/relationships/hyperlink" Target="https://grover-sk.ru/catalog/metizy/gayki/din_934/din_934_a2/standart_shag/gayki_m4/" TargetMode="External"/><Relationship Id="rId14" Type="http://schemas.openxmlformats.org/officeDocument/2006/relationships/hyperlink" Target="https://grover-sk.ru/catalog/metizy/shayby/din_9021/din_9021_a2/shayby_m6/" TargetMode="External"/><Relationship Id="rId22" Type="http://schemas.openxmlformats.org/officeDocument/2006/relationships/hyperlink" Target="https://grover-sk.ru/catalog/metizy/vinty/din_912/din_912_a2/vinty_m3/" TargetMode="External"/><Relationship Id="rId27" Type="http://schemas.openxmlformats.org/officeDocument/2006/relationships/hyperlink" Target="https://grover-sk.ru/catalog/metizy/vinty/din_912/din_912_a2/vinty_m3/" TargetMode="External"/><Relationship Id="rId30" Type="http://schemas.openxmlformats.org/officeDocument/2006/relationships/hyperlink" Target="https://grover-sk.ru/catalog/metizy/vinty/din_912/din_912_a2/vinty_m4/" TargetMode="External"/><Relationship Id="rId35" Type="http://schemas.openxmlformats.org/officeDocument/2006/relationships/hyperlink" Target="https://ali.click/k3laxs?erid=2SDnjdWsp6k" TargetMode="External"/><Relationship Id="rId8" Type="http://schemas.openxmlformats.org/officeDocument/2006/relationships/hyperlink" Target="https://grover-sk.ru/catalog/metizy/gayki/din_934/din_934_a2/standart_shag/gayki_m3/" TargetMode="External"/><Relationship Id="rId3" Type="http://schemas.openxmlformats.org/officeDocument/2006/relationships/hyperlink" Target="https://ali.click/mim8f1y?erid=2SDnjeP62Ca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oberizavod.ru/catalog/seriya_20_obychnyy_paz_anodirovannyj/profil_konstruktsionnyy_20kh20_an_serebro/" TargetMode="External"/><Relationship Id="rId3" Type="http://schemas.openxmlformats.org/officeDocument/2006/relationships/hyperlink" Target="https://www.soberizavod.ru/catalog/seriya_20_obychnyy_paz_anodirovannyj/profil_konstruktsionnyy_20kh20_an_serebro/" TargetMode="External"/><Relationship Id="rId7" Type="http://schemas.openxmlformats.org/officeDocument/2006/relationships/hyperlink" Target="https://www.soberizavod.ru/catalog/seriya_20_obychnyy_paz_anodirovannyj/profil_konstruktsionnyy_20kh20_an_serebro/" TargetMode="External"/><Relationship Id="rId12" Type="http://schemas.openxmlformats.org/officeDocument/2006/relationships/hyperlink" Target="https://www.soberizavod.ru/catalog/seriya_20_obychnyy_paz_anodirovannyj/profil_konstruktsionnyy_20kh20l_3c_an_serebro/" TargetMode="External"/><Relationship Id="rId2" Type="http://schemas.openxmlformats.org/officeDocument/2006/relationships/hyperlink" Target="https://www.soberizavod.ru/catalog/seriya_20_obychnyy_paz_anodirovannyj/profil_konstruktsionnyy_20kh20_an_serebro/" TargetMode="External"/><Relationship Id="rId1" Type="http://schemas.openxmlformats.org/officeDocument/2006/relationships/hyperlink" Target="https://www.soberizavod.ru/catalog/seriya_20_obychnyy_paz_anodirovannyj/profil_konstruktsionnyy_20kh60l_an_serebro/" TargetMode="External"/><Relationship Id="rId6" Type="http://schemas.openxmlformats.org/officeDocument/2006/relationships/hyperlink" Target="https://www.soberizavod.ru/catalog/seriya_20_obychnyy_paz_anodirovannyj/profil_konstruktsionnyy_20kh20_an_serebro/" TargetMode="External"/><Relationship Id="rId11" Type="http://schemas.openxmlformats.org/officeDocument/2006/relationships/hyperlink" Target="https://www.soberizavod.ru/catalog/seriya_20_obychnyy_paz_anodirovannyj/profil_konstruktsionnyy_20kh20_an_serebro/" TargetMode="External"/><Relationship Id="rId5" Type="http://schemas.openxmlformats.org/officeDocument/2006/relationships/hyperlink" Target="https://www.soberizavod.ru/catalog/seriya_20_v_paz_anodirovannyj/profil_konstruktsionnyy_v20kh20l_an_serebro/" TargetMode="External"/><Relationship Id="rId10" Type="http://schemas.openxmlformats.org/officeDocument/2006/relationships/hyperlink" Target="https://www.soberizavod.ru/catalog/seriya_20_obychnyy_paz_anodirovannyj/profil_konstruktsionnyy_20kh20_an_serebro/" TargetMode="External"/><Relationship Id="rId4" Type="http://schemas.openxmlformats.org/officeDocument/2006/relationships/hyperlink" Target="https://www.soberizavod.ru/catalog/seriya_20_obychnyy_paz_anodirovannyj/profil_konstruktsionnyy_20kh20_an_serebro/" TargetMode="External"/><Relationship Id="rId9" Type="http://schemas.openxmlformats.org/officeDocument/2006/relationships/hyperlink" Target="https://www.soberizavod.ru/catalog/seriya_20_obychnyy_paz_anodirovannyj/profil_konstruktsionnyy_20kh20_an_serebro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t.me/Itdranikk" TargetMode="External"/><Relationship Id="rId3" Type="http://schemas.openxmlformats.org/officeDocument/2006/relationships/hyperlink" Target="http://t.me/Itdranikk" TargetMode="External"/><Relationship Id="rId7" Type="http://schemas.openxmlformats.org/officeDocument/2006/relationships/hyperlink" Target="http://t.me/Itdranikk" TargetMode="External"/><Relationship Id="rId2" Type="http://schemas.openxmlformats.org/officeDocument/2006/relationships/hyperlink" Target="http://t.me/Itdranikk" TargetMode="External"/><Relationship Id="rId1" Type="http://schemas.openxmlformats.org/officeDocument/2006/relationships/hyperlink" Target="http://t.me/Itdranikk" TargetMode="External"/><Relationship Id="rId6" Type="http://schemas.openxmlformats.org/officeDocument/2006/relationships/hyperlink" Target="http://t.me/Itdranikk" TargetMode="External"/><Relationship Id="rId5" Type="http://schemas.openxmlformats.org/officeDocument/2006/relationships/hyperlink" Target="http://t.me/Itdranikk" TargetMode="External"/><Relationship Id="rId10" Type="http://schemas.openxmlformats.org/officeDocument/2006/relationships/hyperlink" Target="http://t.me/Itdranikk" TargetMode="External"/><Relationship Id="rId4" Type="http://schemas.openxmlformats.org/officeDocument/2006/relationships/hyperlink" Target="http://t.me/Itdranikk" TargetMode="External"/><Relationship Id="rId9" Type="http://schemas.openxmlformats.org/officeDocument/2006/relationships/hyperlink" Target="http://t.me/Itdranikk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alli.pub/76ks21?erid=2SDnjefuTjz" TargetMode="External"/><Relationship Id="rId13" Type="http://schemas.openxmlformats.org/officeDocument/2006/relationships/hyperlink" Target="https://alli.pub/76ksd4?erid=2SDnjehQTU8" TargetMode="External"/><Relationship Id="rId3" Type="http://schemas.openxmlformats.org/officeDocument/2006/relationships/hyperlink" Target="https://ali.click/v93cf1k?erid=2SDnjeBQsS2" TargetMode="External"/><Relationship Id="rId7" Type="http://schemas.openxmlformats.org/officeDocument/2006/relationships/hyperlink" Target="https://alli.pub/76ks21?erid=2SDnjefuTjz" TargetMode="External"/><Relationship Id="rId12" Type="http://schemas.openxmlformats.org/officeDocument/2006/relationships/hyperlink" Target="https://alli.pub/76ksd4?erid=2SDnjehQTU8" TargetMode="External"/><Relationship Id="rId17" Type="http://schemas.openxmlformats.org/officeDocument/2006/relationships/hyperlink" Target="https://ali.click/4539j1h?erid=2SDnjc39wKZ" TargetMode="External"/><Relationship Id="rId2" Type="http://schemas.openxmlformats.org/officeDocument/2006/relationships/hyperlink" Target="https://alli.pub/76kpnb?erid=2SDnjcNMrkL" TargetMode="External"/><Relationship Id="rId16" Type="http://schemas.openxmlformats.org/officeDocument/2006/relationships/hyperlink" Target="https://ali.click/4539j1h?erid=2SDnjc39wKZ" TargetMode="External"/><Relationship Id="rId1" Type="http://schemas.openxmlformats.org/officeDocument/2006/relationships/hyperlink" Target="https://alli.pub/76kpnb?erid=2SDnjcNMrkL" TargetMode="External"/><Relationship Id="rId6" Type="http://schemas.openxmlformats.org/officeDocument/2006/relationships/hyperlink" Target="https://alli.pub/76ks21?erid=2SDnjefuTjz" TargetMode="External"/><Relationship Id="rId11" Type="http://schemas.openxmlformats.org/officeDocument/2006/relationships/hyperlink" Target="https://alli.pub/76ksd4?erid=2SDnjehQTU8" TargetMode="External"/><Relationship Id="rId5" Type="http://schemas.openxmlformats.org/officeDocument/2006/relationships/hyperlink" Target="https://ali.click/ck3cf1s?erid=2SDnjee6eWE" TargetMode="External"/><Relationship Id="rId15" Type="http://schemas.openxmlformats.org/officeDocument/2006/relationships/hyperlink" Target="https://alli.pub/76kseo?erid=2SDnjcGZyBJ" TargetMode="External"/><Relationship Id="rId10" Type="http://schemas.openxmlformats.org/officeDocument/2006/relationships/hyperlink" Target="https://alli.pub/76ks21?erid=2SDnjefuTjz" TargetMode="External"/><Relationship Id="rId4" Type="http://schemas.openxmlformats.org/officeDocument/2006/relationships/hyperlink" Target="https://ali.click/v93cf1k?erid=2SDnjeBQsS2" TargetMode="External"/><Relationship Id="rId9" Type="http://schemas.openxmlformats.org/officeDocument/2006/relationships/hyperlink" Target="https://alli.pub/76ks21?erid=2SDnjefuTjz" TargetMode="External"/><Relationship Id="rId14" Type="http://schemas.openxmlformats.org/officeDocument/2006/relationships/hyperlink" Target="https://alli.pub/76ksby?erid=2SDnjeKAe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44"/>
  <sheetViews>
    <sheetView tabSelected="1" zoomScaleNormal="100" workbookViewId="0">
      <selection activeCell="B6" sqref="B6"/>
    </sheetView>
  </sheetViews>
  <sheetFormatPr defaultColWidth="10.625" defaultRowHeight="15.95" customHeight="1" x14ac:dyDescent="0.3"/>
  <cols>
    <col min="1" max="1" width="30.25" style="23" customWidth="1"/>
    <col min="2" max="2" width="12.625" style="18" customWidth="1"/>
    <col min="3" max="3" width="12.625" style="24" customWidth="1"/>
    <col min="4" max="4" width="95.375" style="18" customWidth="1"/>
    <col min="5" max="16384" width="10.625" style="18"/>
  </cols>
  <sheetData>
    <row r="1" spans="1:6" ht="15.95" customHeight="1" x14ac:dyDescent="0.3">
      <c r="A1" s="86" t="s">
        <v>0</v>
      </c>
      <c r="B1" s="86"/>
      <c r="C1" s="86"/>
      <c r="D1" s="16" t="s">
        <v>1</v>
      </c>
      <c r="E1" s="17"/>
      <c r="F1" s="17"/>
    </row>
    <row r="2" spans="1:6" ht="15.95" customHeight="1" x14ac:dyDescent="0.3">
      <c r="A2" s="19" t="s">
        <v>2</v>
      </c>
      <c r="B2" s="93" t="s">
        <v>3</v>
      </c>
      <c r="C2" s="93"/>
      <c r="D2" s="14" t="s">
        <v>462</v>
      </c>
    </row>
    <row r="3" spans="1:6" ht="15.95" customHeight="1" x14ac:dyDescent="0.3">
      <c r="A3" s="19" t="s">
        <v>4</v>
      </c>
      <c r="B3" s="93" t="s">
        <v>43</v>
      </c>
      <c r="C3" s="93"/>
      <c r="D3" s="14" t="s">
        <v>461</v>
      </c>
    </row>
    <row r="4" spans="1:6" ht="15.95" customHeight="1" x14ac:dyDescent="0.3">
      <c r="A4" s="86" t="s">
        <v>5</v>
      </c>
      <c r="B4" s="86"/>
      <c r="C4" s="86"/>
      <c r="D4" s="90" t="s">
        <v>460</v>
      </c>
    </row>
    <row r="5" spans="1:6" ht="15.95" customHeight="1" x14ac:dyDescent="0.3">
      <c r="A5" s="26" t="s">
        <v>464</v>
      </c>
      <c r="B5" s="27" t="s">
        <v>6</v>
      </c>
      <c r="C5" s="27" t="s">
        <v>7</v>
      </c>
      <c r="D5" s="92"/>
    </row>
    <row r="6" spans="1:6" ht="15.95" customHeight="1" x14ac:dyDescent="0.3">
      <c r="A6" s="21" t="s">
        <v>456</v>
      </c>
      <c r="B6" s="29">
        <v>1.21</v>
      </c>
      <c r="C6" s="28">
        <v>5000</v>
      </c>
      <c r="D6" s="92"/>
    </row>
    <row r="7" spans="1:6" ht="15.95" customHeight="1" x14ac:dyDescent="0.3">
      <c r="A7" s="21" t="s">
        <v>457</v>
      </c>
      <c r="B7" s="29">
        <v>1.1499999999999999</v>
      </c>
      <c r="C7" s="28">
        <v>2000</v>
      </c>
      <c r="D7" s="92"/>
    </row>
    <row r="8" spans="1:6" ht="15.95" customHeight="1" x14ac:dyDescent="0.3">
      <c r="A8" s="21" t="s">
        <v>458</v>
      </c>
      <c r="B8" s="29">
        <v>1.05</v>
      </c>
      <c r="C8" s="28">
        <v>1000</v>
      </c>
      <c r="D8" s="92"/>
    </row>
    <row r="9" spans="1:6" ht="15.95" customHeight="1" x14ac:dyDescent="0.3">
      <c r="A9" s="21" t="s">
        <v>459</v>
      </c>
      <c r="B9" s="29">
        <v>1.2</v>
      </c>
      <c r="C9" s="28">
        <v>2000</v>
      </c>
      <c r="D9" s="91"/>
    </row>
    <row r="10" spans="1:6" ht="15.95" customHeight="1" x14ac:dyDescent="0.3">
      <c r="A10" s="86" t="s">
        <v>9</v>
      </c>
      <c r="B10" s="86"/>
      <c r="C10" s="86"/>
      <c r="D10" s="90" t="s">
        <v>463</v>
      </c>
    </row>
    <row r="11" spans="1:6" ht="15.95" customHeight="1" x14ac:dyDescent="0.3">
      <c r="A11" s="19" t="s">
        <v>10</v>
      </c>
      <c r="B11" s="87">
        <v>82</v>
      </c>
      <c r="C11" s="87"/>
      <c r="D11" s="91"/>
    </row>
    <row r="12" spans="1:6" ht="15.95" customHeight="1" x14ac:dyDescent="0.3">
      <c r="C12" s="18"/>
      <c r="D12" s="24"/>
    </row>
    <row r="13" spans="1:6" ht="15.95" customHeight="1" x14ac:dyDescent="0.3">
      <c r="C13" s="18"/>
      <c r="D13" s="24"/>
    </row>
    <row r="14" spans="1:6" ht="15.95" customHeight="1" x14ac:dyDescent="0.3">
      <c r="C14" s="18"/>
      <c r="D14" s="24"/>
    </row>
    <row r="15" spans="1:6" ht="15.95" customHeight="1" x14ac:dyDescent="0.3">
      <c r="C15" s="18"/>
      <c r="D15" s="24"/>
    </row>
    <row r="16" spans="1:6" ht="15.95" customHeight="1" x14ac:dyDescent="0.3">
      <c r="C16" s="18"/>
      <c r="D16" s="24"/>
    </row>
    <row r="17" spans="1:4" ht="15.95" customHeight="1" x14ac:dyDescent="0.3">
      <c r="C17" s="18"/>
      <c r="D17" s="24"/>
    </row>
    <row r="18" spans="1:4" ht="15.95" customHeight="1" x14ac:dyDescent="0.3">
      <c r="A18" s="86" t="s">
        <v>11</v>
      </c>
      <c r="B18" s="86"/>
      <c r="C18" s="86"/>
      <c r="D18" s="16" t="s">
        <v>1</v>
      </c>
    </row>
    <row r="19" spans="1:4" ht="15.95" customHeight="1" x14ac:dyDescent="0.3">
      <c r="A19" s="78" t="s">
        <v>467</v>
      </c>
      <c r="B19" s="78"/>
      <c r="C19" s="78"/>
      <c r="D19" s="79" t="s">
        <v>465</v>
      </c>
    </row>
    <row r="20" spans="1:4" ht="15.95" customHeight="1" x14ac:dyDescent="0.3">
      <c r="A20" s="19" t="s">
        <v>12</v>
      </c>
      <c r="B20" s="88" t="str" cm="1">
        <f t="array" ref="B20">_xlfn.IFS($B$2="M","400x250 мм",$B$2="L","400x400 мм",$B$2="XL","500x500 мм")</f>
        <v>400x250 мм</v>
      </c>
      <c r="C20" s="88"/>
      <c r="D20" s="79"/>
    </row>
    <row r="21" spans="1:4" ht="15.95" customHeight="1" x14ac:dyDescent="0.3">
      <c r="A21" s="19" t="s">
        <v>13</v>
      </c>
      <c r="B21" s="81" t="str" cm="1">
        <f t="array" ref="B21">_xlfn.IFS($B$2="M","390x250 мм",$B$2="L","390x400 мм",$B$2="XL","490x500 мм")</f>
        <v>390x250 мм</v>
      </c>
      <c r="C21" s="81"/>
      <c r="D21" s="79"/>
    </row>
    <row r="22" spans="1:4" ht="15.95" customHeight="1" x14ac:dyDescent="0.3">
      <c r="A22" s="19" t="s">
        <v>14</v>
      </c>
      <c r="B22" s="81" t="str" cm="1">
        <f t="array" ref="B22">_xlfn.IFS($B$2="M","380x250 мм",$B$2="L","380x400 мм",$B$2="XL","480x500 мм")</f>
        <v>380x250 мм</v>
      </c>
      <c r="C22" s="81"/>
      <c r="D22" s="79"/>
    </row>
    <row r="23" spans="1:4" ht="15.95" customHeight="1" x14ac:dyDescent="0.3">
      <c r="A23" s="19" t="s">
        <v>15</v>
      </c>
      <c r="B23" s="81" t="str" cm="1">
        <f t="array" ref="B23">_xlfn.IFS($B$2="M","2х 180x250 мм",$B$2="L","2х 180x400 мм",$B$2="XL","2х 230x500 мм")</f>
        <v>2х 180x250 мм</v>
      </c>
      <c r="C23" s="81"/>
      <c r="D23" s="79"/>
    </row>
    <row r="24" spans="1:4" ht="15.95" customHeight="1" x14ac:dyDescent="0.3">
      <c r="A24" s="19" t="s">
        <v>16</v>
      </c>
      <c r="B24" s="81" t="str" cm="1">
        <f t="array" ref="B24">_xlfn.IFS($B$2="M","2х 200x250 мм",$B$2="L","2х 200x400 мм",$B$2="XL","2х 250x500 мм")</f>
        <v>2х 200x250 мм</v>
      </c>
      <c r="C24" s="81"/>
      <c r="D24" s="79"/>
    </row>
    <row r="25" spans="1:4" ht="15.95" customHeight="1" x14ac:dyDescent="0.3">
      <c r="A25" s="25" t="s">
        <v>17</v>
      </c>
      <c r="B25" s="89" cm="1">
        <f t="array" ref="B25">_xlfn.IFS($B$2="M",250,$B$2="L",400,$B$2="XL",500)</f>
        <v>250</v>
      </c>
      <c r="C25" s="89"/>
      <c r="D25" s="79"/>
    </row>
    <row r="26" spans="1:4" ht="15.95" customHeight="1" x14ac:dyDescent="0.3">
      <c r="A26" s="25" t="s">
        <v>18</v>
      </c>
      <c r="B26" s="81" t="str" cm="1">
        <f t="array" ref="B26">_xlfn.IFS($B$2="M","688x520x750 мм",$B$2="L","688x670x900 мм",$B$2="XL","788x670x900 мм")</f>
        <v>688x520x750 мм</v>
      </c>
      <c r="C26" s="81"/>
      <c r="D26" s="15" t="s">
        <v>19</v>
      </c>
    </row>
    <row r="27" spans="1:4" ht="15.95" customHeight="1" x14ac:dyDescent="0.3">
      <c r="A27" s="82" t="s">
        <v>466</v>
      </c>
      <c r="B27" s="82"/>
      <c r="C27" s="82"/>
      <c r="D27" s="79" t="s">
        <v>530</v>
      </c>
    </row>
    <row r="28" spans="1:4" ht="15.95" customHeight="1" x14ac:dyDescent="0.3">
      <c r="A28" s="19" t="s">
        <v>470</v>
      </c>
      <c r="B28" s="83">
        <f>SUM('Печатные изд.'!M3:M122)</f>
        <v>399.29999999999995</v>
      </c>
      <c r="C28" s="83"/>
      <c r="D28" s="79"/>
    </row>
    <row r="29" spans="1:4" ht="15.95" customHeight="1" x14ac:dyDescent="0.3">
      <c r="A29" s="19" t="s">
        <v>469</v>
      </c>
      <c r="B29" s="83">
        <f>SUM('Печатные изд.'!N3:N122)</f>
        <v>2411.5499999999997</v>
      </c>
      <c r="C29" s="83"/>
      <c r="D29" s="79"/>
    </row>
    <row r="30" spans="1:4" ht="15.95" customHeight="1" x14ac:dyDescent="0.3">
      <c r="A30" s="19" t="s">
        <v>472</v>
      </c>
      <c r="B30" s="84">
        <f>SUM('Печатные изд.'!O3:O122)</f>
        <v>2596.65</v>
      </c>
      <c r="C30" s="84"/>
      <c r="D30" s="79"/>
    </row>
    <row r="31" spans="1:4" ht="15.95" customHeight="1" x14ac:dyDescent="0.3">
      <c r="A31" s="19" t="s">
        <v>471</v>
      </c>
      <c r="B31" s="85">
        <f>SUM('Печатные изд.'!P3:P122)</f>
        <v>36</v>
      </c>
      <c r="C31" s="85"/>
      <c r="D31" s="79"/>
    </row>
    <row r="32" spans="1:4" ht="15.95" customHeight="1" x14ac:dyDescent="0.3">
      <c r="A32" s="78" t="s">
        <v>468</v>
      </c>
      <c r="B32" s="78"/>
      <c r="C32" s="78"/>
      <c r="D32" s="79" t="s">
        <v>20</v>
      </c>
    </row>
    <row r="33" spans="1:4" ht="15.95" customHeight="1" x14ac:dyDescent="0.3">
      <c r="A33" s="19" t="s">
        <v>21</v>
      </c>
      <c r="B33" s="80">
        <f>SUM(B34:C38)</f>
        <v>81566.77767499999</v>
      </c>
      <c r="C33" s="80"/>
      <c r="D33" s="79"/>
    </row>
    <row r="34" spans="1:4" ht="15.95" customHeight="1" x14ac:dyDescent="0.3">
      <c r="A34" s="19" t="s">
        <v>22</v>
      </c>
      <c r="B34" s="80">
        <f>SUM('Покупные изд.'!J3:J9)</f>
        <v>20042.150000000001</v>
      </c>
      <c r="C34" s="80"/>
      <c r="D34" s="79"/>
    </row>
    <row r="35" spans="1:4" ht="15.95" customHeight="1" x14ac:dyDescent="0.3">
      <c r="A35" s="19" t="s">
        <v>23</v>
      </c>
      <c r="B35" s="80">
        <f>SUM('Покупные изд.'!J11:J19)</f>
        <v>13785.045</v>
      </c>
      <c r="C35" s="80"/>
      <c r="D35" s="79"/>
    </row>
    <row r="36" spans="1:4" ht="15.95" customHeight="1" x14ac:dyDescent="0.3">
      <c r="A36" s="19" t="s">
        <v>490</v>
      </c>
      <c r="B36" s="80">
        <f>SUM('Покупные изд.'!J21:J40)</f>
        <v>14608.682274999999</v>
      </c>
      <c r="C36" s="80"/>
      <c r="D36" s="79"/>
    </row>
    <row r="37" spans="1:4" ht="15.95" customHeight="1" x14ac:dyDescent="0.3">
      <c r="A37" s="19" t="s">
        <v>24</v>
      </c>
      <c r="B37" s="80">
        <f>SUM('Покупные изд.'!J42:J53)</f>
        <v>22755.499999999996</v>
      </c>
      <c r="C37" s="80"/>
      <c r="D37" s="79"/>
    </row>
    <row r="38" spans="1:4" ht="15.95" customHeight="1" x14ac:dyDescent="0.3">
      <c r="A38" s="19" t="s">
        <v>25</v>
      </c>
      <c r="B38" s="80">
        <f>SUM('Покупные изд.'!J55:J65)</f>
        <v>10375.400399999999</v>
      </c>
      <c r="C38" s="80"/>
      <c r="D38" s="79"/>
    </row>
    <row r="39" spans="1:4" ht="15.95" customHeight="1" x14ac:dyDescent="0.3">
      <c r="A39" s="19" t="s">
        <v>26</v>
      </c>
      <c r="B39" s="80">
        <f>SUM('Стандартные изд.'!L2:L40)</f>
        <v>12247.970000000001</v>
      </c>
      <c r="C39" s="80"/>
      <c r="D39" s="79"/>
    </row>
    <row r="40" spans="1:4" ht="15.95" customHeight="1" x14ac:dyDescent="0.3">
      <c r="A40" s="19" t="s">
        <v>27</v>
      </c>
      <c r="B40" s="80">
        <f>SUM('Печатные изд.'!Q3:Q122)</f>
        <v>9488.2499999999982</v>
      </c>
      <c r="C40" s="80"/>
      <c r="D40" s="79"/>
    </row>
    <row r="41" spans="1:4" ht="15.95" customHeight="1" x14ac:dyDescent="0.3">
      <c r="A41" s="19" t="s">
        <v>28</v>
      </c>
      <c r="B41" s="80">
        <f>SUM(Профиль!O2:O13)</f>
        <v>7361.3200000000006</v>
      </c>
      <c r="C41" s="80"/>
      <c r="D41" s="79"/>
    </row>
    <row r="42" spans="1:4" ht="15.95" customHeight="1" x14ac:dyDescent="0.3">
      <c r="A42" s="19" t="s">
        <v>29</v>
      </c>
      <c r="B42" s="80">
        <f>Зашивка!H3+Зашивка!H7</f>
        <v>20550</v>
      </c>
      <c r="C42" s="80"/>
      <c r="D42" s="79"/>
    </row>
    <row r="43" spans="1:4" ht="15.95" customHeight="1" x14ac:dyDescent="0.3">
      <c r="A43" s="19" t="s">
        <v>30</v>
      </c>
      <c r="B43" s="80">
        <f>SUM(Проводка!K4:K8,Проводка!K10:K21)</f>
        <v>3657.82</v>
      </c>
      <c r="C43" s="80"/>
      <c r="D43" s="79"/>
    </row>
    <row r="44" spans="1:4" ht="15.95" customHeight="1" x14ac:dyDescent="0.3">
      <c r="A44" s="19" t="s">
        <v>31</v>
      </c>
      <c r="B44" s="80">
        <f>SUM(B33,B39:C43)</f>
        <v>134872.13767500001</v>
      </c>
      <c r="C44" s="80"/>
      <c r="D44" s="79"/>
    </row>
  </sheetData>
  <mergeCells count="38">
    <mergeCell ref="D4:D9"/>
    <mergeCell ref="A1:C1"/>
    <mergeCell ref="B2:C2"/>
    <mergeCell ref="B3:C3"/>
    <mergeCell ref="A4:C4"/>
    <mergeCell ref="A10:C10"/>
    <mergeCell ref="B11:C11"/>
    <mergeCell ref="A18:C18"/>
    <mergeCell ref="A19:C19"/>
    <mergeCell ref="D19:D25"/>
    <mergeCell ref="B20:C20"/>
    <mergeCell ref="B21:C21"/>
    <mergeCell ref="B22:C22"/>
    <mergeCell ref="B23:C23"/>
    <mergeCell ref="B24:C24"/>
    <mergeCell ref="B25:C25"/>
    <mergeCell ref="D10:D11"/>
    <mergeCell ref="B26:C26"/>
    <mergeCell ref="A27:C27"/>
    <mergeCell ref="D27:D31"/>
    <mergeCell ref="B29:C29"/>
    <mergeCell ref="B30:C30"/>
    <mergeCell ref="B31:C31"/>
    <mergeCell ref="B28:C28"/>
    <mergeCell ref="A32:C32"/>
    <mergeCell ref="D32:D44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</mergeCells>
  <dataValidations count="19">
    <dataValidation operator="equal" allowBlank="1" showErrorMessage="1" sqref="B1:C1 B4:B9 C2 B10:C1044 C4:C9" xr:uid="{00000000-0002-0000-0000-000000000000}">
      <formula1>0</formula1>
      <formula2>0</formula2>
    </dataValidation>
    <dataValidation type="list" operator="equal" allowBlank="1" showErrorMessage="1" sqref="B2" xr:uid="{00000000-0002-0000-0000-000001000000}">
      <formula1>"M,L,XL"</formula1>
      <formula2>0</formula2>
    </dataValidation>
    <dataValidation operator="equal" allowBlank="1" showInputMessage="1" showErrorMessage="1" promptTitle="Область печати" prompt="Область печати разнится в зависимости от режима_x000a_работы принтера:_x000a__x000a_Базовая - размер горячей части стола. Физический_x000a_размер плиты стола будет на 50мм больше вдоль_x000a_оси Y. Этот припуск требуется для более_x000a_равномерного прогрева переднего и заднего_x000a_краёв стола," sqref="A19:A24" xr:uid="{00000000-0002-0000-0000-000004000000}">
      <formula1>0</formula1>
      <formula2>0</formula2>
    </dataValidation>
    <dataValidation operator="equal" allowBlank="1" showInputMessage="1" showErrorMessage="1" promptTitle="Область печати по Z" prompt="Область печати по Z имеет базовый размер 250мм_x000a_для M, 400мм для L и 500мм для XL при_x000a_использовании хотэнда, аналогичного Goliath по_x000a_длине. Установка более короткого хотэнда приведёт к_x000a_увеличению области печати по Z." sqref="A25" xr:uid="{00000000-0002-0000-0000-000005000000}">
      <formula1>0</formula1>
      <formula2>0</formula2>
    </dataValidation>
    <dataValidation operator="equal" allowBlank="1" showInputMessage="1" showErrorMessage="1" promptTitle="Габарит принтера" prompt="Внешний габарит принтера по самым выступающим_x000a_элементам - головкам винтов, ручкам дверей и т.д._x000a_При сравнении габарита с другими принтерами_x000a_учитывайте, что у VOSTOK'а, в отличие от_x000a_большинства других конструкций, катушки пластика_x000a_располагаются над отсеком" sqref="A26" xr:uid="{00000000-0002-0000-0000-000006000000}">
      <formula1>0</formula1>
      <formula2>0</formula2>
    </dataValidation>
    <dataValidation operator="equal" allowBlank="1" showInputMessage="1" showErrorMessage="1" promptTitle="Расход филамента" prompt="Сколько и на какую сумму будет затрачено разных_x000a_видов филамента. Запас учитывается." sqref="A27:A31" xr:uid="{00000000-0002-0000-0000-000007000000}">
      <formula1>0</formula1>
      <formula2>0</formula2>
    </dataValidation>
    <dataValidation operator="equal" allowBlank="1" showInputMessage="1" showErrorMessage="1" promptTitle="Стоимость покупных изделий" prompt="Суммарная стоимость покупных изделий - хотэндов,_x000a_рельс, ремней и т.д. На неё влияет выбранная_x000a_конфигурация принтера и запас ремней." sqref="A33" xr:uid="{00000000-0002-0000-0000-000008000000}">
      <formula1>0</formula1>
      <formula2>0</formula2>
    </dataValidation>
    <dataValidation operator="equal" allowBlank="1" showInputMessage="1" showErrorMessage="1" promptTitle="Стоимость печатающих голов" prompt="Суммарная стоимость покупных деталей, требуемых_x000a_для сборки двух печатающих голов. Не включает в_x000a_себя стоимость стандартных изделий." sqref="A34" xr:uid="{00000000-0002-0000-0000-000009000000}">
      <formula1>0</formula1>
      <formula2>0</formula2>
    </dataValidation>
    <dataValidation operator="equal" allowBlank="1" showInputMessage="1" showErrorMessage="1" promptTitle="Стоимость механики портала" prompt="Суммарная стоимость деталей, требуемых для_x000a_сборки механики портала, за исключением_x000a_печатающих голов. Не включает в себя стоимость_x000a_стандартных изделий и алюминиевых профилей." sqref="A35" xr:uid="{00000000-0002-0000-0000-00000A000000}">
      <formula1>0</formula1>
      <formula2>0</formula2>
    </dataValidation>
    <dataValidation operator="equal" allowBlank="1" showInputMessage="1" showErrorMessage="1" promptTitle="Стоимость механики оси Z" prompt="Суммарная стоимость покупных деталей, требуемых_x000a_для сборки механики оси Z. Не включает в себя_x000a_печатные детали, профили и стандартные изделия." sqref="A36" xr:uid="{00000000-0002-0000-0000-00000B000000}">
      <formula1>0</formula1>
      <formula2>0</formula2>
    </dataValidation>
    <dataValidation operator="equal" allowBlank="1" showInputMessage="1" showErrorMessage="1" promptTitle="Стоимость электроники" prompt="Суммарная стоимость покупных деталей, требуемых_x000a_для сборки электроники. Не включает в себя_x000a_стандартные изделия, проводку и разъёмы." sqref="A37" xr:uid="{00000000-0002-0000-0000-00000D000000}">
      <formula1>0</formula1>
      <formula2>0</formula2>
    </dataValidation>
    <dataValidation operator="equal" allowBlank="1" showInputMessage="1" showErrorMessage="1" promptTitle="Стоимость других деталей" prompt="Суммарная стоимость покупных деталей, требуемых_x000a_для сборки принтера, но не вошедших в другие_x000a_категории." sqref="A38" xr:uid="{00000000-0002-0000-0000-00000E000000}">
      <formula1>0</formula1>
      <formula2>0</formula2>
    </dataValidation>
    <dataValidation operator="equal" allowBlank="1" showInputMessage="1" showErrorMessage="1" promptTitle="Стоимость стандартных изделий" prompt="Суммарная стоимость стандартных изделий - винтов,_x000a_гаек, вплавляемых резьбовых втулок, пружин,_x000a_подшипников и т.д. с учётом запаса." sqref="A39" xr:uid="{00000000-0002-0000-0000-00000F000000}">
      <formula1>0</formula1>
      <formula2>0</formula2>
    </dataValidation>
    <dataValidation operator="equal" allowBlank="1" showInputMessage="1" showErrorMessage="1" promptTitle="Стоимость печатных изделий" prompt="Суммарная стоимость всех печатных деталей,_x000a_требуемых для сборки принтера, включая запас._x000a_Затраты на поддержки, неудачные печати и т.д._x000a_включены в запас." sqref="A40" xr:uid="{00000000-0002-0000-0000-000010000000}">
      <formula1>0</formula1>
      <formula2>0</formula2>
    </dataValidation>
    <dataValidation operator="equal" allowBlank="1" showInputMessage="1" showErrorMessage="1" promptTitle="Стоимость профилей" prompt="Суммарная стоимость всех профилей, требуемых_x000a_для сборки принтера. Сверление и нарезка резьбы_x000a_не учтены." sqref="A41" xr:uid="{00000000-0002-0000-0000-000011000000}">
      <formula1>0</formula1>
      <formula2>0</formula2>
    </dataValidation>
    <dataValidation operator="equal" allowBlank="1" showInputMessage="1" showErrorMessage="1" promptTitle="Стоимость зашивки" prompt="Будет добавлено в следующих версиях." sqref="A42" xr:uid="{00000000-0002-0000-0000-000012000000}">
      <formula1>0</formula1>
      <formula2>0</formula2>
    </dataValidation>
    <dataValidation operator="equal" allowBlank="1" showInputMessage="1" showErrorMessage="1" promptTitle="Стоимость проводки и разъёмов" prompt="Суммарная стоимость всех проводов и разъёмов,_x000a_требуемых для сборки принтера, учитывая запас." sqref="A43" xr:uid="{00000000-0002-0000-0000-000013000000}">
      <formula1>0</formula1>
      <formula2>0</formula2>
    </dataValidation>
    <dataValidation operator="equal" allowBlank="1" showInputMessage="1" showErrorMessage="1" promptTitle="Стоимость итого" prompt="Суммарная стоимость всех деталей, требуемых для_x000a_сборки принтера в выбранной конфигурации._x000a__x000a_Реально затраченная на сборку принтера сумма_x000a_может отличаться от расчётной ввиду разницы_x000a_стоимости доставки (в расчёте для большинства_x000a_товаров учтена доставка до Мо" sqref="A44" xr:uid="{00000000-0002-0000-0000-000014000000}">
      <formula1>0</formula1>
      <formula2>0</formula2>
    </dataValidation>
    <dataValidation type="list" allowBlank="1" showInputMessage="1" showErrorMessage="1" sqref="B3:C3" xr:uid="{2D8B182A-6A0F-4806-A920-40CFBC92BF92}">
      <formula1>"Goliath,Goliath ALPS,CHC XL"</formula1>
    </dataValidation>
  </dataValidation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&amp;C&amp;"Arial,Обычный"&amp;A</oddHeader>
    <oddFooter>&amp;C&amp;"Arial,Обычный"Page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M65"/>
  <sheetViews>
    <sheetView zoomScaleNormal="100" workbookViewId="0">
      <selection activeCell="F17" sqref="F17"/>
    </sheetView>
  </sheetViews>
  <sheetFormatPr defaultColWidth="10.625" defaultRowHeight="16.5" x14ac:dyDescent="0.3"/>
  <cols>
    <col min="1" max="1" width="46.375" style="23" customWidth="1"/>
    <col min="2" max="5" width="6.625" style="38" hidden="1" customWidth="1"/>
    <col min="6" max="6" width="8.625" style="38" customWidth="1"/>
    <col min="7" max="7" width="13.375" style="39" hidden="1" customWidth="1"/>
    <col min="8" max="8" width="12.125" style="23" hidden="1" customWidth="1"/>
    <col min="9" max="10" width="10.625" style="39"/>
    <col min="11" max="11" width="8.25" style="38" customWidth="1"/>
    <col min="12" max="12" width="74.25" style="45" customWidth="1"/>
    <col min="13" max="13" width="10.625" style="18"/>
    <col min="14" max="16384" width="10.625" style="23"/>
  </cols>
  <sheetData>
    <row r="1" spans="1:12" ht="33" x14ac:dyDescent="0.3">
      <c r="A1" s="75" t="s">
        <v>32</v>
      </c>
      <c r="B1" s="16" t="s">
        <v>474</v>
      </c>
      <c r="C1" s="16" t="s">
        <v>475</v>
      </c>
      <c r="D1" s="16" t="s">
        <v>473</v>
      </c>
      <c r="E1" s="16" t="s">
        <v>35</v>
      </c>
      <c r="F1" s="30" t="s">
        <v>531</v>
      </c>
      <c r="G1" s="31" t="s">
        <v>36</v>
      </c>
      <c r="H1" s="30" t="s">
        <v>481</v>
      </c>
      <c r="I1" s="31" t="s">
        <v>480</v>
      </c>
      <c r="J1" s="31" t="s">
        <v>479</v>
      </c>
      <c r="K1" s="16" t="s">
        <v>112</v>
      </c>
      <c r="L1" s="30" t="s">
        <v>1</v>
      </c>
    </row>
    <row r="2" spans="1:12" x14ac:dyDescent="0.3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x14ac:dyDescent="0.3">
      <c r="A3" s="19" t="s">
        <v>40</v>
      </c>
      <c r="B3" s="33">
        <v>2</v>
      </c>
      <c r="C3" s="33">
        <v>2</v>
      </c>
      <c r="D3" s="33">
        <v>2</v>
      </c>
      <c r="E3" s="33">
        <v>1</v>
      </c>
      <c r="F3" s="34">
        <f>_xlfn.IFS(Настройки!$B$2="M",B3,Настройки!$B$2="L",C3,Настройки!$B$2="XL",D3)*E3</f>
        <v>2</v>
      </c>
      <c r="G3" s="35">
        <v>916.75</v>
      </c>
      <c r="H3" s="22">
        <f>Настройки!$B$11/Константы!$B$1</f>
        <v>1</v>
      </c>
      <c r="I3" s="35">
        <f t="shared" ref="I3:I9" si="0">G3*H3</f>
        <v>916.75</v>
      </c>
      <c r="J3" s="35">
        <f t="shared" ref="J3:J9" si="1">F3*I3</f>
        <v>1833.5</v>
      </c>
      <c r="K3" s="36" t="s">
        <v>41</v>
      </c>
      <c r="L3" s="14"/>
    </row>
    <row r="4" spans="1:12" x14ac:dyDescent="0.3">
      <c r="A4" s="19" t="s">
        <v>42</v>
      </c>
      <c r="B4" s="33">
        <v>2</v>
      </c>
      <c r="C4" s="33">
        <v>2</v>
      </c>
      <c r="D4" s="33">
        <v>2</v>
      </c>
      <c r="E4" s="33">
        <v>1</v>
      </c>
      <c r="F4" s="34">
        <f>_xlfn.IFS(Настройки!$B$2="M",B4,Настройки!$B$2="L",C4,Настройки!$B$2="XL",D4)*E4</f>
        <v>2</v>
      </c>
      <c r="G4" s="35">
        <v>1292.95</v>
      </c>
      <c r="H4" s="22">
        <f>Настройки!$B$11/Константы!$B$1</f>
        <v>1</v>
      </c>
      <c r="I4" s="35">
        <f t="shared" si="0"/>
        <v>1292.95</v>
      </c>
      <c r="J4" s="35">
        <f t="shared" si="1"/>
        <v>2585.9</v>
      </c>
      <c r="K4" s="36" t="s">
        <v>41</v>
      </c>
      <c r="L4" s="14"/>
    </row>
    <row r="5" spans="1:12" x14ac:dyDescent="0.3">
      <c r="A5" s="19" t="s">
        <v>483</v>
      </c>
      <c r="B5" s="33">
        <v>2</v>
      </c>
      <c r="C5" s="33">
        <v>2</v>
      </c>
      <c r="D5" s="33">
        <v>2</v>
      </c>
      <c r="E5" s="33" cm="1">
        <f t="array" ref="E5">_xlfn.IFS(Настройки!B3="Goliath",1,Настройки!B3="Goliath ALPS",1,TRUE,0)</f>
        <v>0</v>
      </c>
      <c r="F5" s="34">
        <f>_xlfn.IFS(Настройки!$B$2="M",B5,Настройки!$B$2="L",C5,Настройки!$B$2="XL",D5)*E5</f>
        <v>0</v>
      </c>
      <c r="G5" s="35">
        <v>10283.75</v>
      </c>
      <c r="H5" s="22">
        <f>Настройки!$B$11/Константы!$B$1</f>
        <v>1</v>
      </c>
      <c r="I5" s="35">
        <f t="shared" si="0"/>
        <v>10283.75</v>
      </c>
      <c r="J5" s="35">
        <f t="shared" si="1"/>
        <v>0</v>
      </c>
      <c r="K5" s="36" t="s">
        <v>41</v>
      </c>
      <c r="L5" s="14"/>
    </row>
    <row r="6" spans="1:12" x14ac:dyDescent="0.3">
      <c r="A6" s="19" t="s">
        <v>482</v>
      </c>
      <c r="B6" s="33">
        <v>2</v>
      </c>
      <c r="C6" s="33">
        <v>2</v>
      </c>
      <c r="D6" s="33">
        <v>2</v>
      </c>
      <c r="E6" s="33">
        <f>IF(Настройки!B3="Goliath ALPS",1,0)</f>
        <v>0</v>
      </c>
      <c r="F6" s="34">
        <f>_xlfn.IFS(Настройки!$B$2="M",B6,Настройки!$B$2="L",C6,Настройки!$B$2="XL",D6)*E6</f>
        <v>0</v>
      </c>
      <c r="G6" s="35">
        <v>2002.6</v>
      </c>
      <c r="H6" s="22">
        <f>Настройки!$B$11/Константы!$B$1</f>
        <v>1</v>
      </c>
      <c r="I6" s="35">
        <f t="shared" si="0"/>
        <v>2002.6</v>
      </c>
      <c r="J6" s="35">
        <f t="shared" si="1"/>
        <v>0</v>
      </c>
      <c r="K6" s="36" t="s">
        <v>41</v>
      </c>
      <c r="L6" s="14"/>
    </row>
    <row r="7" spans="1:12" x14ac:dyDescent="0.3">
      <c r="A7" s="19" t="s">
        <v>43</v>
      </c>
      <c r="B7" s="33">
        <v>2</v>
      </c>
      <c r="C7" s="33">
        <v>2</v>
      </c>
      <c r="D7" s="33">
        <v>2</v>
      </c>
      <c r="E7" s="33">
        <f>IF(Настройки!B3="CHC XL",1,0)</f>
        <v>1</v>
      </c>
      <c r="F7" s="34">
        <f>_xlfn.IFS(Настройки!$B$2="M",B7,Настройки!$B$2="L",C7,Настройки!$B$2="XL",D7)*E7</f>
        <v>2</v>
      </c>
      <c r="G7" s="35">
        <v>6663.2999999999993</v>
      </c>
      <c r="H7" s="22">
        <f>Настройки!$B$11/Константы!$B$1</f>
        <v>1</v>
      </c>
      <c r="I7" s="35">
        <f t="shared" si="0"/>
        <v>6663.2999999999993</v>
      </c>
      <c r="J7" s="35">
        <f t="shared" si="1"/>
        <v>13326.599999999999</v>
      </c>
      <c r="K7" s="36" t="s">
        <v>41</v>
      </c>
      <c r="L7" s="14"/>
    </row>
    <row r="8" spans="1:12" ht="42.75" x14ac:dyDescent="0.3">
      <c r="A8" s="19" t="s">
        <v>484</v>
      </c>
      <c r="B8" s="33">
        <v>2</v>
      </c>
      <c r="C8" s="33">
        <v>2</v>
      </c>
      <c r="D8" s="33">
        <v>2</v>
      </c>
      <c r="E8" s="33">
        <v>1</v>
      </c>
      <c r="F8" s="34">
        <f>_xlfn.IFS(Настройки!$B$2="M",B8,Настройки!$B$2="L",C8,Настройки!$B$2="XL",D8)*E8</f>
        <v>2</v>
      </c>
      <c r="G8" s="35">
        <v>503.5</v>
      </c>
      <c r="H8" s="22">
        <f>Настройки!$B$11/Константы!$B$1</f>
        <v>1</v>
      </c>
      <c r="I8" s="35">
        <f t="shared" si="0"/>
        <v>503.5</v>
      </c>
      <c r="J8" s="35">
        <f t="shared" si="1"/>
        <v>1007</v>
      </c>
      <c r="K8" s="36" t="s">
        <v>41</v>
      </c>
      <c r="L8" s="14" t="s">
        <v>485</v>
      </c>
    </row>
    <row r="9" spans="1:12" x14ac:dyDescent="0.3">
      <c r="A9" s="19" t="s">
        <v>44</v>
      </c>
      <c r="B9" s="33">
        <v>1</v>
      </c>
      <c r="C9" s="33">
        <v>1</v>
      </c>
      <c r="D9" s="33">
        <v>1</v>
      </c>
      <c r="E9" s="33">
        <f>IF(Настройки!B3="Goliath ALPS",0,1)</f>
        <v>1</v>
      </c>
      <c r="F9" s="34">
        <f>_xlfn.IFS(Настройки!$B$2="M",B9,Настройки!$B$2="L",C9,Настройки!$B$2="XL",D9)*E9</f>
        <v>1</v>
      </c>
      <c r="G9" s="35">
        <v>1289.1499999999999</v>
      </c>
      <c r="H9" s="22">
        <f>Настройки!$B$11/Константы!$B$1</f>
        <v>1</v>
      </c>
      <c r="I9" s="35">
        <f t="shared" si="0"/>
        <v>1289.1499999999999</v>
      </c>
      <c r="J9" s="35">
        <f t="shared" si="1"/>
        <v>1289.1499999999999</v>
      </c>
      <c r="K9" s="36" t="s">
        <v>41</v>
      </c>
      <c r="L9" s="14"/>
    </row>
    <row r="10" spans="1:12" x14ac:dyDescent="0.3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</row>
    <row r="11" spans="1:12" ht="42.75" x14ac:dyDescent="0.3">
      <c r="A11" s="19" t="s">
        <v>45</v>
      </c>
      <c r="B11" s="33">
        <v>500</v>
      </c>
      <c r="C11" s="33">
        <v>500</v>
      </c>
      <c r="D11" s="33">
        <v>600</v>
      </c>
      <c r="E11" s="33">
        <v>1</v>
      </c>
      <c r="F11" s="34">
        <f>_xlfn.IFS(Настройки!$B$2="M",B11,Настройки!$B$2="L",C11,Настройки!$B$2="XL",D11)*E11</f>
        <v>500</v>
      </c>
      <c r="G11" s="37">
        <f>294/500</f>
        <v>0.58799999999999997</v>
      </c>
      <c r="H11" s="22">
        <v>1</v>
      </c>
      <c r="I11" s="37">
        <f t="shared" ref="I11:I19" si="2">G11*H11</f>
        <v>0.58799999999999997</v>
      </c>
      <c r="J11" s="35">
        <f t="shared" ref="J11:J19" si="3">F11*I11</f>
        <v>294</v>
      </c>
      <c r="K11" s="36" t="s">
        <v>46</v>
      </c>
      <c r="L11" s="14" t="s">
        <v>486</v>
      </c>
    </row>
    <row r="12" spans="1:12" x14ac:dyDescent="0.3">
      <c r="A12" s="19" t="s">
        <v>47</v>
      </c>
      <c r="B12" s="33">
        <v>1</v>
      </c>
      <c r="C12" s="33">
        <v>1</v>
      </c>
      <c r="D12" s="33">
        <v>0</v>
      </c>
      <c r="E12" s="33">
        <v>1</v>
      </c>
      <c r="F12" s="34">
        <f>_xlfn.IFS(Настройки!$B$2="M",B12,Настройки!$B$2="L",C12,Настройки!$B$2="XL",D12)*E12</f>
        <v>1</v>
      </c>
      <c r="G12" s="37">
        <v>1800.25</v>
      </c>
      <c r="H12" s="22">
        <f>Настройки!$B$11/Константы!$B$1</f>
        <v>1</v>
      </c>
      <c r="I12" s="35">
        <f t="shared" si="2"/>
        <v>1800.25</v>
      </c>
      <c r="J12" s="35">
        <f t="shared" si="3"/>
        <v>1800.25</v>
      </c>
      <c r="K12" s="36" t="s">
        <v>41</v>
      </c>
      <c r="L12" s="14"/>
    </row>
    <row r="13" spans="1:12" x14ac:dyDescent="0.3">
      <c r="A13" s="19" t="s">
        <v>48</v>
      </c>
      <c r="B13" s="33">
        <v>0</v>
      </c>
      <c r="C13" s="33">
        <v>0</v>
      </c>
      <c r="D13" s="33">
        <v>1</v>
      </c>
      <c r="E13" s="33">
        <v>1</v>
      </c>
      <c r="F13" s="34">
        <f>_xlfn.IFS(Настройки!$B$2="M",B13,Настройки!$B$2="L",C13,Настройки!$B$2="XL",D13)*E13</f>
        <v>0</v>
      </c>
      <c r="G13" s="37">
        <v>2913.65</v>
      </c>
      <c r="H13" s="22">
        <f>Настройки!$B$11/Константы!$B$1</f>
        <v>1</v>
      </c>
      <c r="I13" s="35">
        <f t="shared" si="2"/>
        <v>2913.65</v>
      </c>
      <c r="J13" s="35">
        <f t="shared" si="3"/>
        <v>0</v>
      </c>
      <c r="K13" s="36" t="s">
        <v>41</v>
      </c>
      <c r="L13" s="14"/>
    </row>
    <row r="14" spans="1:12" x14ac:dyDescent="0.3">
      <c r="A14" s="19" t="s">
        <v>49</v>
      </c>
      <c r="B14" s="33">
        <v>2</v>
      </c>
      <c r="C14" s="33">
        <v>0</v>
      </c>
      <c r="D14" s="33">
        <v>0</v>
      </c>
      <c r="E14" s="33">
        <v>1</v>
      </c>
      <c r="F14" s="34">
        <f>_xlfn.IFS(Настройки!$B$2="M",B14,Настройки!$B$2="L",C14,Настройки!$B$2="XL",D14)*E14</f>
        <v>2</v>
      </c>
      <c r="G14" s="37">
        <v>1500.05</v>
      </c>
      <c r="H14" s="22">
        <f>Настройки!$B$11/Константы!$B$1</f>
        <v>1</v>
      </c>
      <c r="I14" s="35">
        <f t="shared" si="2"/>
        <v>1500.05</v>
      </c>
      <c r="J14" s="35">
        <f t="shared" si="3"/>
        <v>3000.1</v>
      </c>
      <c r="K14" s="36" t="s">
        <v>41</v>
      </c>
      <c r="L14" s="14"/>
    </row>
    <row r="15" spans="1:12" x14ac:dyDescent="0.3">
      <c r="A15" s="19" t="s">
        <v>50</v>
      </c>
      <c r="B15" s="33">
        <v>0</v>
      </c>
      <c r="C15" s="33">
        <v>2</v>
      </c>
      <c r="D15" s="33">
        <v>0</v>
      </c>
      <c r="E15" s="33">
        <v>1</v>
      </c>
      <c r="F15" s="34">
        <f>_xlfn.IFS(Настройки!$B$2="M",B15,Настройки!$B$2="L",C15,Настройки!$B$2="XL",D15)*E15</f>
        <v>0</v>
      </c>
      <c r="G15" s="37">
        <v>1813.55</v>
      </c>
      <c r="H15" s="22">
        <f>Настройки!$B$11/Константы!$B$1</f>
        <v>1</v>
      </c>
      <c r="I15" s="35">
        <f t="shared" si="2"/>
        <v>1813.55</v>
      </c>
      <c r="J15" s="35">
        <f t="shared" si="3"/>
        <v>0</v>
      </c>
      <c r="K15" s="36" t="s">
        <v>41</v>
      </c>
      <c r="L15" s="14"/>
    </row>
    <row r="16" spans="1:12" x14ac:dyDescent="0.3">
      <c r="A16" s="19" t="s">
        <v>51</v>
      </c>
      <c r="B16" s="33">
        <v>0</v>
      </c>
      <c r="C16" s="33">
        <v>0</v>
      </c>
      <c r="D16" s="33">
        <v>2</v>
      </c>
      <c r="E16" s="33">
        <v>1</v>
      </c>
      <c r="F16" s="34">
        <f>_xlfn.IFS(Настройки!$B$2="M",B16,Настройки!$B$2="L",C16,Настройки!$B$2="XL",D16)*E16</f>
        <v>0</v>
      </c>
      <c r="G16" s="37">
        <v>1946.55</v>
      </c>
      <c r="H16" s="22">
        <f>Настройки!$B$11/Константы!$B$1</f>
        <v>1</v>
      </c>
      <c r="I16" s="35">
        <f t="shared" si="2"/>
        <v>1946.55</v>
      </c>
      <c r="J16" s="35">
        <f t="shared" si="3"/>
        <v>0</v>
      </c>
      <c r="K16" s="36" t="s">
        <v>41</v>
      </c>
      <c r="L16" s="14"/>
    </row>
    <row r="17" spans="1:12" ht="42.75" x14ac:dyDescent="0.3">
      <c r="A17" s="19" t="s">
        <v>52</v>
      </c>
      <c r="B17" s="33">
        <v>4</v>
      </c>
      <c r="C17" s="33">
        <v>4</v>
      </c>
      <c r="D17" s="33">
        <v>4</v>
      </c>
      <c r="E17" s="33">
        <v>1</v>
      </c>
      <c r="F17" s="34">
        <f>_xlfn.IFS(Настройки!$B$2="M",B17,Настройки!$B$2="L",C17,Настройки!$B$2="XL",D17)*E17</f>
        <v>4</v>
      </c>
      <c r="G17" s="35">
        <v>1117.9124999999999</v>
      </c>
      <c r="H17" s="22">
        <f>Настройки!$B$11/Константы!$B$1</f>
        <v>1</v>
      </c>
      <c r="I17" s="35">
        <f t="shared" si="2"/>
        <v>1117.9124999999999</v>
      </c>
      <c r="J17" s="35">
        <f t="shared" si="3"/>
        <v>4471.6499999999996</v>
      </c>
      <c r="K17" s="36" t="s">
        <v>41</v>
      </c>
      <c r="L17" s="14" t="s">
        <v>53</v>
      </c>
    </row>
    <row r="18" spans="1:12" x14ac:dyDescent="0.3">
      <c r="A18" s="19" t="s">
        <v>54</v>
      </c>
      <c r="B18" s="33">
        <v>4</v>
      </c>
      <c r="C18" s="33">
        <v>4</v>
      </c>
      <c r="D18" s="33">
        <v>4</v>
      </c>
      <c r="E18" s="33">
        <v>1</v>
      </c>
      <c r="F18" s="34">
        <f>_xlfn.IFS(Настройки!$B$2="M",B18,Настройки!$B$2="L",C18,Настройки!$B$2="XL",D18)*E18</f>
        <v>4</v>
      </c>
      <c r="G18" s="35">
        <v>512.04999999999995</v>
      </c>
      <c r="H18" s="22">
        <f>Настройки!$B$11/Константы!$B$1</f>
        <v>1</v>
      </c>
      <c r="I18" s="35">
        <f t="shared" si="2"/>
        <v>512.04999999999995</v>
      </c>
      <c r="J18" s="35">
        <f t="shared" si="3"/>
        <v>2048.1999999999998</v>
      </c>
      <c r="K18" s="36" t="s">
        <v>41</v>
      </c>
      <c r="L18" s="79" t="s">
        <v>55</v>
      </c>
    </row>
    <row r="19" spans="1:12" x14ac:dyDescent="0.3">
      <c r="A19" s="19" t="s">
        <v>56</v>
      </c>
      <c r="B19" s="33">
        <f>2*Расчёты!$D$2+2*Расчёты!$D$5</f>
        <v>8104</v>
      </c>
      <c r="C19" s="33">
        <f>2*Расчёты!$D$3+2*Расчёты!$D$6</f>
        <v>9754</v>
      </c>
      <c r="D19" s="33">
        <f>2*Расчёты!$D$4+2*Расчёты!$D$7</f>
        <v>10854</v>
      </c>
      <c r="E19" s="33">
        <f>E18</f>
        <v>1</v>
      </c>
      <c r="F19" s="34">
        <f>ROUNDUP(_xlfn.IFS(Настройки!$B$2="M",B19,Настройки!$B$2="L",C19,Настройки!$B$2="XL",D19)*E19,-3)</f>
        <v>9000</v>
      </c>
      <c r="G19" s="37">
        <v>0.241205</v>
      </c>
      <c r="H19" s="22">
        <f>Настройки!$B$11/Константы!$B$1</f>
        <v>1</v>
      </c>
      <c r="I19" s="37">
        <f t="shared" si="2"/>
        <v>0.241205</v>
      </c>
      <c r="J19" s="35">
        <f t="shared" si="3"/>
        <v>2170.8449999999998</v>
      </c>
      <c r="K19" s="36" t="s">
        <v>41</v>
      </c>
      <c r="L19" s="79"/>
    </row>
    <row r="20" spans="1:12" x14ac:dyDescent="0.3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</row>
    <row r="21" spans="1:12" x14ac:dyDescent="0.3">
      <c r="A21" s="19" t="str">
        <f>A17</f>
        <v>Двигатель SIBOOR-42STH48</v>
      </c>
      <c r="B21" s="33">
        <v>1</v>
      </c>
      <c r="C21" s="33">
        <v>1</v>
      </c>
      <c r="D21" s="33">
        <v>1</v>
      </c>
      <c r="E21" s="33">
        <v>1</v>
      </c>
      <c r="F21" s="34">
        <f>_xlfn.IFS(Настройки!$B$2="M",B21,Настройки!$B$2="L",C21,Настройки!$B$2="XL",D21)*E21</f>
        <v>1</v>
      </c>
      <c r="G21" s="35">
        <v>1062.0168749999998</v>
      </c>
      <c r="H21" s="22">
        <f>Настройки!$B$11/Константы!$B$1</f>
        <v>1</v>
      </c>
      <c r="I21" s="35">
        <f t="shared" ref="I21:I40" si="4">G21*H21</f>
        <v>1062.0168749999998</v>
      </c>
      <c r="J21" s="35">
        <f t="shared" ref="J21:J40" si="5">F21*I21</f>
        <v>1062.0168749999998</v>
      </c>
      <c r="K21" s="36" t="s">
        <v>41</v>
      </c>
      <c r="L21" s="14" t="s">
        <v>57</v>
      </c>
    </row>
    <row r="22" spans="1:12" x14ac:dyDescent="0.3">
      <c r="A22" s="19" t="s">
        <v>58</v>
      </c>
      <c r="B22" s="33">
        <v>2</v>
      </c>
      <c r="C22" s="33">
        <v>4</v>
      </c>
      <c r="D22" s="33">
        <v>4</v>
      </c>
      <c r="E22" s="33">
        <v>1</v>
      </c>
      <c r="F22" s="34">
        <f>_xlfn.IFS(Настройки!$B$2="M",B22,Настройки!$B$2="L",C22,Настройки!$B$2="XL",D22)*E22</f>
        <v>2</v>
      </c>
      <c r="G22" s="35">
        <v>299.01249999999999</v>
      </c>
      <c r="H22" s="22">
        <f>Настройки!$B$11/Константы!$B$1</f>
        <v>1</v>
      </c>
      <c r="I22" s="35">
        <f t="shared" si="4"/>
        <v>299.01249999999999</v>
      </c>
      <c r="J22" s="35">
        <f t="shared" si="5"/>
        <v>598.02499999999998</v>
      </c>
      <c r="K22" s="36" t="s">
        <v>41</v>
      </c>
      <c r="L22" s="14"/>
    </row>
    <row r="23" spans="1:12" x14ac:dyDescent="0.3">
      <c r="A23" s="19" t="s">
        <v>59</v>
      </c>
      <c r="B23" s="33">
        <v>1</v>
      </c>
      <c r="C23" s="33">
        <v>1</v>
      </c>
      <c r="D23" s="33">
        <v>1</v>
      </c>
      <c r="E23" s="33">
        <v>1</v>
      </c>
      <c r="F23" s="34">
        <f>_xlfn.IFS(Настройки!$B$2="M",B23,Настройки!$B$2="L",C23,Настройки!$B$2="XL",D23)*E23</f>
        <v>1</v>
      </c>
      <c r="G23" s="35">
        <v>428.45</v>
      </c>
      <c r="H23" s="22">
        <f>Настройки!$B$11/Константы!$B$1</f>
        <v>1</v>
      </c>
      <c r="I23" s="35">
        <f t="shared" si="4"/>
        <v>428.45</v>
      </c>
      <c r="J23" s="35">
        <f t="shared" si="5"/>
        <v>428.45</v>
      </c>
      <c r="K23" s="36" t="s">
        <v>41</v>
      </c>
      <c r="L23" s="14"/>
    </row>
    <row r="24" spans="1:12" x14ac:dyDescent="0.3">
      <c r="A24" s="19" t="s">
        <v>60</v>
      </c>
      <c r="B24" s="33">
        <v>1512</v>
      </c>
      <c r="C24" s="33">
        <v>2000</v>
      </c>
      <c r="D24" s="33">
        <v>3000</v>
      </c>
      <c r="E24" s="33">
        <v>1</v>
      </c>
      <c r="F24" s="34">
        <f>_xlfn.IFS(Настройки!$B$2="M",B24,Настройки!$B$2="L",C24,Настройки!$B$2="XL",D24)*E24</f>
        <v>1512</v>
      </c>
      <c r="G24" s="37">
        <v>0.32711666666666667</v>
      </c>
      <c r="H24" s="22">
        <f>Настройки!$B$11/Константы!$B$1</f>
        <v>1</v>
      </c>
      <c r="I24" s="37">
        <f t="shared" si="4"/>
        <v>0.32711666666666667</v>
      </c>
      <c r="J24" s="35">
        <f t="shared" si="5"/>
        <v>494.60039999999998</v>
      </c>
      <c r="K24" s="36" t="s">
        <v>41</v>
      </c>
      <c r="L24" s="14"/>
    </row>
    <row r="25" spans="1:12" x14ac:dyDescent="0.3">
      <c r="A25" s="19" t="s">
        <v>61</v>
      </c>
      <c r="B25" s="33">
        <v>2</v>
      </c>
      <c r="C25" s="33">
        <v>0</v>
      </c>
      <c r="D25" s="33">
        <v>0</v>
      </c>
      <c r="E25" s="33">
        <v>1</v>
      </c>
      <c r="F25" s="34">
        <f>_xlfn.IFS(Настройки!$B$2="M",B25,Настройки!$B$2="L",C25,Настройки!$B$2="XL",D25)*E25</f>
        <v>2</v>
      </c>
      <c r="G25" s="35">
        <v>554.79999999999995</v>
      </c>
      <c r="H25" s="22">
        <f>Настройки!$B$11/Константы!$B$1</f>
        <v>1</v>
      </c>
      <c r="I25" s="35">
        <f t="shared" si="4"/>
        <v>554.79999999999995</v>
      </c>
      <c r="J25" s="35">
        <f t="shared" si="5"/>
        <v>1109.5999999999999</v>
      </c>
      <c r="K25" s="36" t="s">
        <v>41</v>
      </c>
      <c r="L25" s="79" t="s">
        <v>62</v>
      </c>
    </row>
    <row r="26" spans="1:12" x14ac:dyDescent="0.3">
      <c r="A26" s="19" t="s">
        <v>63</v>
      </c>
      <c r="B26" s="33">
        <v>0</v>
      </c>
      <c r="C26" s="33">
        <v>4</v>
      </c>
      <c r="D26" s="33">
        <v>0</v>
      </c>
      <c r="E26" s="33">
        <v>1</v>
      </c>
      <c r="F26" s="34">
        <f>_xlfn.IFS(Настройки!$B$2="M",B26,Настройки!$B$2="L",C26,Настройки!$B$2="XL",D26)*E26</f>
        <v>0</v>
      </c>
      <c r="G26" s="35">
        <v>888.25</v>
      </c>
      <c r="H26" s="22">
        <f>Настройки!$B$11/Константы!$B$1</f>
        <v>1</v>
      </c>
      <c r="I26" s="35">
        <f t="shared" si="4"/>
        <v>888.25</v>
      </c>
      <c r="J26" s="35">
        <f t="shared" si="5"/>
        <v>0</v>
      </c>
      <c r="K26" s="36" t="s">
        <v>41</v>
      </c>
      <c r="L26" s="79"/>
    </row>
    <row r="27" spans="1:12" x14ac:dyDescent="0.3">
      <c r="A27" s="19" t="s">
        <v>64</v>
      </c>
      <c r="B27" s="33">
        <v>0</v>
      </c>
      <c r="C27" s="33">
        <v>0</v>
      </c>
      <c r="D27" s="33">
        <v>4</v>
      </c>
      <c r="E27" s="33">
        <v>1</v>
      </c>
      <c r="F27" s="34">
        <f>_xlfn.IFS(Настройки!$B$2="M",B27,Настройки!$B$2="L",C27,Настройки!$B$2="XL",D27)*E27</f>
        <v>0</v>
      </c>
      <c r="G27" s="35">
        <v>980.4</v>
      </c>
      <c r="H27" s="22">
        <f>Настройки!$B$11/Константы!$B$1</f>
        <v>1</v>
      </c>
      <c r="I27" s="35">
        <f t="shared" si="4"/>
        <v>980.4</v>
      </c>
      <c r="J27" s="35">
        <f t="shared" si="5"/>
        <v>0</v>
      </c>
      <c r="K27" s="36" t="s">
        <v>41</v>
      </c>
      <c r="L27" s="79"/>
    </row>
    <row r="28" spans="1:12" x14ac:dyDescent="0.3">
      <c r="A28" s="19" t="s">
        <v>49</v>
      </c>
      <c r="B28" s="33">
        <v>2</v>
      </c>
      <c r="C28" s="33">
        <v>0</v>
      </c>
      <c r="D28" s="33">
        <v>0</v>
      </c>
      <c r="E28" s="33">
        <v>1</v>
      </c>
      <c r="F28" s="34">
        <f>_xlfn.IFS(Настройки!$B$2="M",B28,Настройки!$B$2="L",C28,Настройки!$B$2="XL",D28)*E28</f>
        <v>2</v>
      </c>
      <c r="G28" s="37">
        <v>1500.05</v>
      </c>
      <c r="H28" s="22">
        <f>Настройки!$B$11/Константы!$B$1</f>
        <v>1</v>
      </c>
      <c r="I28" s="35">
        <f t="shared" si="4"/>
        <v>1500.05</v>
      </c>
      <c r="J28" s="35">
        <f t="shared" si="5"/>
        <v>3000.1</v>
      </c>
      <c r="K28" s="36" t="s">
        <v>41</v>
      </c>
      <c r="L28" s="14"/>
    </row>
    <row r="29" spans="1:12" x14ac:dyDescent="0.3">
      <c r="A29" s="19" t="s">
        <v>50</v>
      </c>
      <c r="B29" s="33">
        <v>0</v>
      </c>
      <c r="C29" s="33">
        <v>4</v>
      </c>
      <c r="D29" s="33">
        <v>0</v>
      </c>
      <c r="E29" s="33">
        <v>1</v>
      </c>
      <c r="F29" s="34">
        <f>_xlfn.IFS(Настройки!$B$2="M",B29,Настройки!$B$2="L",C29,Настройки!$B$2="XL",D29)*E29</f>
        <v>0</v>
      </c>
      <c r="G29" s="37">
        <v>1813.55</v>
      </c>
      <c r="H29" s="22">
        <f>Настройки!$B$11/Константы!$B$1</f>
        <v>1</v>
      </c>
      <c r="I29" s="35">
        <f t="shared" si="4"/>
        <v>1813.55</v>
      </c>
      <c r="J29" s="35">
        <f t="shared" si="5"/>
        <v>0</v>
      </c>
      <c r="K29" s="36" t="s">
        <v>41</v>
      </c>
      <c r="L29" s="14"/>
    </row>
    <row r="30" spans="1:12" x14ac:dyDescent="0.3">
      <c r="A30" s="19" t="s">
        <v>51</v>
      </c>
      <c r="B30" s="33">
        <v>0</v>
      </c>
      <c r="C30" s="33">
        <v>0</v>
      </c>
      <c r="D30" s="33">
        <v>4</v>
      </c>
      <c r="E30" s="33">
        <v>1</v>
      </c>
      <c r="F30" s="34">
        <f>_xlfn.IFS(Настройки!$B$2="M",B30,Настройки!$B$2="L",C30,Настройки!$B$2="XL",D30)*E30</f>
        <v>0</v>
      </c>
      <c r="G30" s="37">
        <v>1946.55</v>
      </c>
      <c r="H30" s="22">
        <f>Настройки!$B$11/Константы!$B$1</f>
        <v>1</v>
      </c>
      <c r="I30" s="35">
        <f t="shared" si="4"/>
        <v>1946.55</v>
      </c>
      <c r="J30" s="35">
        <f t="shared" si="5"/>
        <v>0</v>
      </c>
      <c r="K30" s="36" t="s">
        <v>41</v>
      </c>
      <c r="L30" s="14"/>
    </row>
    <row r="31" spans="1:12" x14ac:dyDescent="0.3">
      <c r="A31" s="19" t="s">
        <v>65</v>
      </c>
      <c r="B31" s="33">
        <v>9</v>
      </c>
      <c r="C31" s="33">
        <v>9</v>
      </c>
      <c r="D31" s="33">
        <v>9</v>
      </c>
      <c r="E31" s="33">
        <v>1</v>
      </c>
      <c r="F31" s="34">
        <f>_xlfn.IFS(Настройки!$B$2="M",B31,Настройки!$B$2="L",C31,Настройки!$B$2="XL",D31)*E31</f>
        <v>9</v>
      </c>
      <c r="G31" s="35">
        <v>48.26</v>
      </c>
      <c r="H31" s="22">
        <f>Настройки!$B$11/Константы!$B$1</f>
        <v>1</v>
      </c>
      <c r="I31" s="35">
        <f t="shared" si="4"/>
        <v>48.26</v>
      </c>
      <c r="J31" s="35">
        <f t="shared" si="5"/>
        <v>434.34</v>
      </c>
      <c r="K31" s="36" t="s">
        <v>41</v>
      </c>
      <c r="L31" s="14"/>
    </row>
    <row r="32" spans="1:12" x14ac:dyDescent="0.3">
      <c r="A32" s="19" t="s">
        <v>66</v>
      </c>
      <c r="B32" s="33">
        <v>1</v>
      </c>
      <c r="C32" s="33">
        <v>0</v>
      </c>
      <c r="D32" s="33">
        <v>0</v>
      </c>
      <c r="E32" s="33">
        <v>1</v>
      </c>
      <c r="F32" s="34">
        <f>_xlfn.IFS(Настройки!$B$2="M",B32,Настройки!$B$2="L",C32,Настройки!$B$2="XL",D32)*E32</f>
        <v>1</v>
      </c>
      <c r="G32" s="35">
        <v>1370</v>
      </c>
      <c r="H32" s="22">
        <f>Настройки!$B$11/Константы!$B$1</f>
        <v>1</v>
      </c>
      <c r="I32" s="35">
        <f t="shared" si="4"/>
        <v>1370</v>
      </c>
      <c r="J32" s="35">
        <f t="shared" si="5"/>
        <v>1370</v>
      </c>
      <c r="K32" s="36" t="s">
        <v>67</v>
      </c>
      <c r="L32" s="79" t="s">
        <v>68</v>
      </c>
    </row>
    <row r="33" spans="1:12" x14ac:dyDescent="0.3">
      <c r="A33" s="19" t="s">
        <v>69</v>
      </c>
      <c r="B33" s="33">
        <v>0</v>
      </c>
      <c r="C33" s="33">
        <v>1</v>
      </c>
      <c r="D33" s="33">
        <v>0</v>
      </c>
      <c r="E33" s="33">
        <v>1</v>
      </c>
      <c r="F33" s="34">
        <f>_xlfn.IFS(Настройки!$B$2="M",B33,Настройки!$B$2="L",C33,Настройки!$B$2="XL",D33)*E33</f>
        <v>0</v>
      </c>
      <c r="G33" s="35">
        <v>2260</v>
      </c>
      <c r="H33" s="22">
        <f>Настройки!$B$11/Константы!$B$1</f>
        <v>1</v>
      </c>
      <c r="I33" s="35">
        <f t="shared" si="4"/>
        <v>2260</v>
      </c>
      <c r="J33" s="35">
        <f t="shared" si="5"/>
        <v>0</v>
      </c>
      <c r="K33" s="36" t="s">
        <v>67</v>
      </c>
      <c r="L33" s="79"/>
    </row>
    <row r="34" spans="1:12" x14ac:dyDescent="0.3">
      <c r="A34" s="19" t="s">
        <v>70</v>
      </c>
      <c r="B34" s="33">
        <v>0</v>
      </c>
      <c r="C34" s="33">
        <v>0</v>
      </c>
      <c r="D34" s="33">
        <v>1</v>
      </c>
      <c r="E34" s="33">
        <f>$E$32</f>
        <v>1</v>
      </c>
      <c r="F34" s="34">
        <f>_xlfn.IFS(Настройки!$B$2="M",B34,Настройки!$B$2="L",C34,Настройки!$B$2="XL",D34)*E34</f>
        <v>0</v>
      </c>
      <c r="G34" s="35">
        <v>3000</v>
      </c>
      <c r="H34" s="22">
        <f>Настройки!$B$11/Константы!$B$1</f>
        <v>1</v>
      </c>
      <c r="I34" s="35">
        <f t="shared" si="4"/>
        <v>3000</v>
      </c>
      <c r="J34" s="35">
        <f t="shared" si="5"/>
        <v>0</v>
      </c>
      <c r="K34" s="36" t="s">
        <v>67</v>
      </c>
      <c r="L34" s="79"/>
    </row>
    <row r="35" spans="1:12" x14ac:dyDescent="0.3">
      <c r="A35" s="19" t="s">
        <v>71</v>
      </c>
      <c r="B35" s="33">
        <v>1</v>
      </c>
      <c r="C35" s="33">
        <v>0</v>
      </c>
      <c r="D35" s="33">
        <v>0</v>
      </c>
      <c r="E35" s="33">
        <v>1</v>
      </c>
      <c r="F35" s="34">
        <f>_xlfn.IFS(Настройки!$B$2="M",B35,Настройки!$B$2="L",C35,Настройки!$B$2="XL",D35)*E35</f>
        <v>1</v>
      </c>
      <c r="G35" s="35">
        <v>2611.5499999999997</v>
      </c>
      <c r="H35" s="22">
        <f>Настройки!$B$11/Константы!$B$1</f>
        <v>1</v>
      </c>
      <c r="I35" s="35">
        <f t="shared" si="4"/>
        <v>2611.5499999999997</v>
      </c>
      <c r="J35" s="35">
        <f t="shared" si="5"/>
        <v>2611.5499999999997</v>
      </c>
      <c r="K35" s="36" t="s">
        <v>41</v>
      </c>
      <c r="L35" s="14"/>
    </row>
    <row r="36" spans="1:12" x14ac:dyDescent="0.3">
      <c r="A36" s="19" t="s">
        <v>72</v>
      </c>
      <c r="B36" s="33">
        <v>0</v>
      </c>
      <c r="C36" s="33">
        <v>1</v>
      </c>
      <c r="D36" s="33">
        <v>0</v>
      </c>
      <c r="E36" s="33">
        <v>1</v>
      </c>
      <c r="F36" s="34">
        <f>_xlfn.IFS(Настройки!$B$2="M",B36,Настройки!$B$2="L",C36,Настройки!$B$2="XL",D36)*E36</f>
        <v>0</v>
      </c>
      <c r="G36" s="35">
        <v>3514.0499999999997</v>
      </c>
      <c r="H36" s="22">
        <f>Настройки!$B$11/Константы!$B$1</f>
        <v>1</v>
      </c>
      <c r="I36" s="35">
        <f t="shared" si="4"/>
        <v>3514.0499999999997</v>
      </c>
      <c r="J36" s="35">
        <f t="shared" si="5"/>
        <v>0</v>
      </c>
      <c r="K36" s="36" t="s">
        <v>41</v>
      </c>
      <c r="L36" s="14"/>
    </row>
    <row r="37" spans="1:12" x14ac:dyDescent="0.3">
      <c r="A37" s="19" t="s">
        <v>73</v>
      </c>
      <c r="B37" s="33">
        <v>0</v>
      </c>
      <c r="C37" s="33">
        <v>0</v>
      </c>
      <c r="D37" s="33">
        <v>1</v>
      </c>
      <c r="E37" s="33">
        <v>1</v>
      </c>
      <c r="F37" s="34">
        <f>_xlfn.IFS(Настройки!$B$2="M",B37,Настройки!$B$2="L",C37,Настройки!$B$2="XL",D37)*E37</f>
        <v>0</v>
      </c>
      <c r="G37" s="35">
        <v>4416.55</v>
      </c>
      <c r="H37" s="22">
        <f>Настройки!$B$11/Константы!$B$1</f>
        <v>1</v>
      </c>
      <c r="I37" s="35">
        <f t="shared" si="4"/>
        <v>4416.55</v>
      </c>
      <c r="J37" s="35">
        <f t="shared" si="5"/>
        <v>0</v>
      </c>
      <c r="K37" s="36" t="s">
        <v>41</v>
      </c>
      <c r="L37" s="14"/>
    </row>
    <row r="38" spans="1:12" x14ac:dyDescent="0.3">
      <c r="A38" s="19" t="s">
        <v>74</v>
      </c>
      <c r="B38" s="33">
        <v>1</v>
      </c>
      <c r="C38" s="33">
        <v>0</v>
      </c>
      <c r="D38" s="33">
        <v>0</v>
      </c>
      <c r="E38" s="33">
        <v>1</v>
      </c>
      <c r="F38" s="34">
        <f>_xlfn.IFS(Настройки!$B$2="M",B38,Настройки!$B$2="L",C38,Настройки!$B$2="XL",D38)*E38</f>
        <v>1</v>
      </c>
      <c r="G38" s="35">
        <v>3500</v>
      </c>
      <c r="H38" s="22">
        <f>Настройки!$B$11/Константы!$B$1</f>
        <v>1</v>
      </c>
      <c r="I38" s="35">
        <f t="shared" si="4"/>
        <v>3500</v>
      </c>
      <c r="J38" s="35">
        <f t="shared" si="5"/>
        <v>3500</v>
      </c>
      <c r="K38" s="36" t="s">
        <v>75</v>
      </c>
      <c r="L38" s="79" t="s">
        <v>76</v>
      </c>
    </row>
    <row r="39" spans="1:12" x14ac:dyDescent="0.3">
      <c r="A39" s="19" t="s">
        <v>77</v>
      </c>
      <c r="B39" s="33">
        <v>0</v>
      </c>
      <c r="C39" s="33">
        <v>1</v>
      </c>
      <c r="D39" s="33">
        <v>0</v>
      </c>
      <c r="E39" s="33">
        <v>1</v>
      </c>
      <c r="F39" s="34">
        <f>_xlfn.IFS(Настройки!$B$2="M",B39,Настройки!$B$2="L",C39,Настройки!$B$2="XL",D39)*E39</f>
        <v>0</v>
      </c>
      <c r="G39" s="35">
        <v>6800</v>
      </c>
      <c r="H39" s="22">
        <f>Настройки!$B$11/Константы!$B$1</f>
        <v>1</v>
      </c>
      <c r="I39" s="35">
        <f t="shared" si="4"/>
        <v>6800</v>
      </c>
      <c r="J39" s="35">
        <f t="shared" si="5"/>
        <v>0</v>
      </c>
      <c r="K39" s="36" t="s">
        <v>75</v>
      </c>
      <c r="L39" s="79"/>
    </row>
    <row r="40" spans="1:12" x14ac:dyDescent="0.3">
      <c r="A40" s="19" t="s">
        <v>78</v>
      </c>
      <c r="B40" s="33">
        <v>0</v>
      </c>
      <c r="C40" s="33">
        <v>0</v>
      </c>
      <c r="D40" s="33">
        <v>1</v>
      </c>
      <c r="E40" s="33">
        <v>1</v>
      </c>
      <c r="F40" s="34">
        <f>_xlfn.IFS(Настройки!$B$2="M",B40,Настройки!$B$2="L",C40,Настройки!$B$2="XL",D40)*E40</f>
        <v>0</v>
      </c>
      <c r="G40" s="35">
        <v>10500</v>
      </c>
      <c r="H40" s="22">
        <f>Настройки!$B$11/Константы!$B$1</f>
        <v>1</v>
      </c>
      <c r="I40" s="35">
        <f t="shared" si="4"/>
        <v>10500</v>
      </c>
      <c r="J40" s="35">
        <f t="shared" si="5"/>
        <v>0</v>
      </c>
      <c r="K40" s="36" t="s">
        <v>75</v>
      </c>
      <c r="L40" s="79"/>
    </row>
    <row r="41" spans="1:12" x14ac:dyDescent="0.3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</row>
    <row r="42" spans="1:12" ht="71.25" x14ac:dyDescent="0.3">
      <c r="A42" s="19" t="s">
        <v>79</v>
      </c>
      <c r="B42" s="33">
        <v>1</v>
      </c>
      <c r="C42" s="33">
        <v>1</v>
      </c>
      <c r="D42" s="33">
        <v>1</v>
      </c>
      <c r="E42" s="33">
        <v>1</v>
      </c>
      <c r="F42" s="34">
        <f>_xlfn.IFS(Настройки!$B$2="M",B42,Настройки!$B$2="L",C42,Настройки!$B$2="XL",D42)*E42</f>
        <v>1</v>
      </c>
      <c r="G42" s="35">
        <v>3951.0499999999997</v>
      </c>
      <c r="H42" s="22">
        <f>Настройки!$B$11/Константы!$B$1</f>
        <v>1</v>
      </c>
      <c r="I42" s="35">
        <f t="shared" ref="I42:I53" si="6">G42*H42</f>
        <v>3951.0499999999997</v>
      </c>
      <c r="J42" s="35">
        <f t="shared" ref="J42:J53" si="7">F42*I42</f>
        <v>3951.0499999999997</v>
      </c>
      <c r="K42" s="36" t="s">
        <v>41</v>
      </c>
      <c r="L42" s="14" t="s">
        <v>489</v>
      </c>
    </row>
    <row r="43" spans="1:12" ht="42.75" x14ac:dyDescent="0.3">
      <c r="A43" s="19" t="s">
        <v>80</v>
      </c>
      <c r="B43" s="33">
        <v>5</v>
      </c>
      <c r="C43" s="33">
        <f>B43</f>
        <v>5</v>
      </c>
      <c r="D43" s="33">
        <f>B43</f>
        <v>5</v>
      </c>
      <c r="E43" s="33">
        <v>1</v>
      </c>
      <c r="F43" s="34">
        <f>_xlfn.IFS(Настройки!$B$2="M",B43,Настройки!$B$2="L",C43,Настройки!$B$2="XL",D43)*E43</f>
        <v>5</v>
      </c>
      <c r="G43" s="35">
        <v>459.61</v>
      </c>
      <c r="H43" s="22">
        <f>Настройки!$B$11/Константы!$B$1</f>
        <v>1</v>
      </c>
      <c r="I43" s="35">
        <f t="shared" si="6"/>
        <v>459.61</v>
      </c>
      <c r="J43" s="35">
        <f t="shared" si="7"/>
        <v>2298.0500000000002</v>
      </c>
      <c r="K43" s="36"/>
      <c r="L43" s="14" t="s">
        <v>487</v>
      </c>
    </row>
    <row r="44" spans="1:12" ht="28.5" x14ac:dyDescent="0.3">
      <c r="A44" s="19" t="s">
        <v>81</v>
      </c>
      <c r="B44" s="33">
        <v>1</v>
      </c>
      <c r="C44" s="33">
        <v>1</v>
      </c>
      <c r="D44" s="33">
        <v>1</v>
      </c>
      <c r="E44" s="33">
        <v>1</v>
      </c>
      <c r="F44" s="34">
        <f>_xlfn.IFS(Настройки!$B$2="M",B44,Настройки!$B$2="L",C44,Настройки!$B$2="XL",D44)*E44</f>
        <v>1</v>
      </c>
      <c r="G44" s="35">
        <v>2041.55</v>
      </c>
      <c r="H44" s="22">
        <f>Настройки!$B$11/Константы!$B$1</f>
        <v>1</v>
      </c>
      <c r="I44" s="35">
        <f t="shared" si="6"/>
        <v>2041.55</v>
      </c>
      <c r="J44" s="35">
        <f t="shared" si="7"/>
        <v>2041.55</v>
      </c>
      <c r="K44" s="36" t="s">
        <v>41</v>
      </c>
      <c r="L44" s="14" t="s">
        <v>82</v>
      </c>
    </row>
    <row r="45" spans="1:12" ht="42.75" x14ac:dyDescent="0.3">
      <c r="A45" s="19" t="s">
        <v>83</v>
      </c>
      <c r="B45" s="33">
        <v>2</v>
      </c>
      <c r="C45" s="33">
        <v>2</v>
      </c>
      <c r="D45" s="33">
        <v>2</v>
      </c>
      <c r="E45" s="33">
        <v>1</v>
      </c>
      <c r="F45" s="34">
        <f>_xlfn.IFS(Настройки!$B$2="M",B45,Настройки!$B$2="L",C45,Настройки!$B$2="XL",D45)*E45</f>
        <v>2</v>
      </c>
      <c r="G45" s="35">
        <v>2482.35</v>
      </c>
      <c r="H45" s="22">
        <f>Настройки!$B$11/Константы!$B$1</f>
        <v>1</v>
      </c>
      <c r="I45" s="35">
        <f t="shared" si="6"/>
        <v>2482.35</v>
      </c>
      <c r="J45" s="35">
        <f t="shared" si="7"/>
        <v>4964.7</v>
      </c>
      <c r="K45" s="36" t="s">
        <v>41</v>
      </c>
      <c r="L45" s="14" t="s">
        <v>488</v>
      </c>
    </row>
    <row r="46" spans="1:12" x14ac:dyDescent="0.3">
      <c r="A46" s="19" t="s">
        <v>84</v>
      </c>
      <c r="B46" s="33">
        <v>1</v>
      </c>
      <c r="C46" s="33">
        <v>1</v>
      </c>
      <c r="D46" s="33">
        <v>1</v>
      </c>
      <c r="E46" s="33">
        <v>1</v>
      </c>
      <c r="F46" s="34">
        <f>_xlfn.IFS(Настройки!$B$2="M",B46,Настройки!$B$2="L",C46,Настройки!$B$2="XL",D46)*E46</f>
        <v>1</v>
      </c>
      <c r="G46" s="35">
        <v>4029.8999999999996</v>
      </c>
      <c r="H46" s="22">
        <f>Настройки!$B$11/Константы!$B$1</f>
        <v>1</v>
      </c>
      <c r="I46" s="35">
        <f t="shared" si="6"/>
        <v>4029.8999999999996</v>
      </c>
      <c r="J46" s="35">
        <f t="shared" si="7"/>
        <v>4029.8999999999996</v>
      </c>
      <c r="K46" s="36" t="s">
        <v>41</v>
      </c>
      <c r="L46" s="14"/>
    </row>
    <row r="47" spans="1:12" x14ac:dyDescent="0.3">
      <c r="A47" s="19" t="s">
        <v>85</v>
      </c>
      <c r="B47" s="33">
        <v>1</v>
      </c>
      <c r="C47" s="33">
        <v>1</v>
      </c>
      <c r="D47" s="33">
        <v>1</v>
      </c>
      <c r="E47" s="33">
        <v>1</v>
      </c>
      <c r="F47" s="34">
        <f>_xlfn.IFS(Настройки!$B$2="M",B47,Настройки!$B$2="L",C47,Настройки!$B$2="XL",D47)*E47</f>
        <v>1</v>
      </c>
      <c r="G47" s="35">
        <v>2380</v>
      </c>
      <c r="H47" s="22">
        <f>Настройки!$B$11/Константы!$B$1</f>
        <v>1</v>
      </c>
      <c r="I47" s="35">
        <f t="shared" si="6"/>
        <v>2380</v>
      </c>
      <c r="J47" s="35">
        <f t="shared" si="7"/>
        <v>2380</v>
      </c>
      <c r="K47" s="36" t="s">
        <v>86</v>
      </c>
      <c r="L47" s="14"/>
    </row>
    <row r="48" spans="1:12" ht="28.5" x14ac:dyDescent="0.3">
      <c r="A48" s="19" t="s">
        <v>87</v>
      </c>
      <c r="B48" s="33">
        <v>2</v>
      </c>
      <c r="C48" s="33">
        <v>2</v>
      </c>
      <c r="D48" s="33">
        <v>2</v>
      </c>
      <c r="E48" s="33">
        <v>1</v>
      </c>
      <c r="F48" s="34">
        <f>_xlfn.IFS(Настройки!$B$2="M",B48,Настройки!$B$2="L",C48,Настройки!$B$2="XL",D48)*E48</f>
        <v>2</v>
      </c>
      <c r="G48" s="35">
        <v>839.8</v>
      </c>
      <c r="H48" s="22">
        <f>Настройки!$B$11/Константы!$B$1</f>
        <v>1</v>
      </c>
      <c r="I48" s="35">
        <f t="shared" si="6"/>
        <v>839.8</v>
      </c>
      <c r="J48" s="35">
        <f t="shared" si="7"/>
        <v>1679.6</v>
      </c>
      <c r="K48" s="36" t="s">
        <v>41</v>
      </c>
      <c r="L48" s="14" t="s">
        <v>491</v>
      </c>
    </row>
    <row r="49" spans="1:12" x14ac:dyDescent="0.3">
      <c r="A49" s="19" t="s">
        <v>88</v>
      </c>
      <c r="B49" s="33">
        <v>3</v>
      </c>
      <c r="C49" s="33">
        <v>3</v>
      </c>
      <c r="D49" s="33">
        <v>3</v>
      </c>
      <c r="E49" s="33">
        <v>1</v>
      </c>
      <c r="F49" s="34">
        <f>_xlfn.IFS(Настройки!$B$2="M",B49,Настройки!$B$2="L",C49,Настройки!$B$2="XL",D49)*E49</f>
        <v>3</v>
      </c>
      <c r="G49" s="35">
        <f>390/5</f>
        <v>78</v>
      </c>
      <c r="H49" s="22">
        <f>Настройки!$B$11/Константы!$B$1</f>
        <v>1</v>
      </c>
      <c r="I49" s="35">
        <f t="shared" si="6"/>
        <v>78</v>
      </c>
      <c r="J49" s="35">
        <f t="shared" si="7"/>
        <v>234</v>
      </c>
      <c r="K49" s="36" t="s">
        <v>89</v>
      </c>
      <c r="L49" s="14"/>
    </row>
    <row r="50" spans="1:12" x14ac:dyDescent="0.3">
      <c r="A50" s="19" t="s">
        <v>90</v>
      </c>
      <c r="B50" s="33">
        <v>4</v>
      </c>
      <c r="C50" s="33">
        <v>4</v>
      </c>
      <c r="D50" s="33">
        <v>4</v>
      </c>
      <c r="E50" s="33">
        <v>1</v>
      </c>
      <c r="F50" s="34">
        <f>_xlfn.IFS(Настройки!$B$2="M",B50,Настройки!$B$2="L",C50,Настройки!$B$2="XL",D50)*E50</f>
        <v>4</v>
      </c>
      <c r="G50" s="37">
        <v>37.524999999999999</v>
      </c>
      <c r="H50" s="22">
        <f>Настройки!$B$11/Константы!$B$1</f>
        <v>1</v>
      </c>
      <c r="I50" s="37">
        <f t="shared" si="6"/>
        <v>37.524999999999999</v>
      </c>
      <c r="J50" s="35">
        <f t="shared" si="7"/>
        <v>150.1</v>
      </c>
      <c r="K50" s="36" t="s">
        <v>41</v>
      </c>
      <c r="L50" s="14"/>
    </row>
    <row r="51" spans="1:12" x14ac:dyDescent="0.3">
      <c r="A51" s="19" t="s">
        <v>91</v>
      </c>
      <c r="B51" s="33">
        <v>2</v>
      </c>
      <c r="C51" s="33">
        <v>2</v>
      </c>
      <c r="D51" s="33">
        <v>0</v>
      </c>
      <c r="E51" s="33">
        <v>1</v>
      </c>
      <c r="F51" s="34">
        <f>_xlfn.IFS(Настройки!$B$2="M",B51,Настройки!$B$2="L",C51,Настройки!$B$2="XL",D51)*E51</f>
        <v>2</v>
      </c>
      <c r="G51" s="35">
        <v>91</v>
      </c>
      <c r="H51" s="22">
        <f>Настройки!$B$11/Константы!$B$1</f>
        <v>1</v>
      </c>
      <c r="I51" s="35">
        <f t="shared" si="6"/>
        <v>91</v>
      </c>
      <c r="J51" s="35">
        <f t="shared" si="7"/>
        <v>182</v>
      </c>
      <c r="K51" s="36" t="s">
        <v>89</v>
      </c>
      <c r="L51" s="14"/>
    </row>
    <row r="52" spans="1:12" x14ac:dyDescent="0.3">
      <c r="A52" s="19" t="s">
        <v>92</v>
      </c>
      <c r="B52" s="33">
        <v>0</v>
      </c>
      <c r="C52" s="33">
        <v>0</v>
      </c>
      <c r="D52" s="33">
        <v>2</v>
      </c>
      <c r="E52" s="33">
        <v>1</v>
      </c>
      <c r="F52" s="34">
        <f>_xlfn.IFS(Настройки!$B$2="M",B52,Настройки!$B$2="L",C52,Настройки!$B$2="XL",D52)*E52</f>
        <v>0</v>
      </c>
      <c r="G52" s="35">
        <v>152</v>
      </c>
      <c r="H52" s="22">
        <f>Настройки!$B$11/Константы!$B$1</f>
        <v>1</v>
      </c>
      <c r="I52" s="35">
        <f t="shared" si="6"/>
        <v>152</v>
      </c>
      <c r="J52" s="35">
        <f t="shared" si="7"/>
        <v>0</v>
      </c>
      <c r="K52" s="36" t="s">
        <v>89</v>
      </c>
      <c r="L52" s="14"/>
    </row>
    <row r="53" spans="1:12" x14ac:dyDescent="0.3">
      <c r="A53" s="19" t="s">
        <v>93</v>
      </c>
      <c r="B53" s="33">
        <v>1</v>
      </c>
      <c r="C53" s="33">
        <v>1</v>
      </c>
      <c r="D53" s="33">
        <v>1</v>
      </c>
      <c r="E53" s="33">
        <v>1</v>
      </c>
      <c r="F53" s="34">
        <f>_xlfn.IFS(Настройки!$B$2="M",B53,Настройки!$B$2="L",C53,Настройки!$B$2="XL",D53)*E53</f>
        <v>1</v>
      </c>
      <c r="G53" s="35">
        <v>844.55</v>
      </c>
      <c r="H53" s="22">
        <f>Настройки!$B$11/Константы!$B$1</f>
        <v>1</v>
      </c>
      <c r="I53" s="35">
        <f t="shared" si="6"/>
        <v>844.55</v>
      </c>
      <c r="J53" s="35">
        <f t="shared" si="7"/>
        <v>844.55</v>
      </c>
      <c r="K53" s="36" t="s">
        <v>41</v>
      </c>
      <c r="L53" s="14"/>
    </row>
    <row r="54" spans="1:12" x14ac:dyDescent="0.3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</row>
    <row r="55" spans="1:12" x14ac:dyDescent="0.3">
      <c r="A55" s="19" t="s">
        <v>94</v>
      </c>
      <c r="B55" s="33">
        <v>1</v>
      </c>
      <c r="C55" s="33">
        <v>1</v>
      </c>
      <c r="D55" s="33">
        <v>1</v>
      </c>
      <c r="E55" s="33">
        <v>1</v>
      </c>
      <c r="F55" s="34">
        <f>_xlfn.IFS(Настройки!$B$2="M",B55,Настройки!$B$2="L",C55,Настройки!$B$2="XL",D55)*E55</f>
        <v>1</v>
      </c>
      <c r="G55" s="35">
        <v>4395.6499999999996</v>
      </c>
      <c r="H55" s="22">
        <f>Настройки!$B$11/Константы!$B$1</f>
        <v>1</v>
      </c>
      <c r="I55" s="35">
        <f t="shared" ref="I55:I61" si="8">G55*H55</f>
        <v>4395.6499999999996</v>
      </c>
      <c r="J55" s="35">
        <f t="shared" ref="J55:J65" si="9">F55*I55</f>
        <v>4395.6499999999996</v>
      </c>
      <c r="K55" s="36" t="s">
        <v>41</v>
      </c>
      <c r="L55" s="14"/>
    </row>
    <row r="56" spans="1:12" x14ac:dyDescent="0.3">
      <c r="A56" s="19" t="s">
        <v>95</v>
      </c>
      <c r="B56" s="33">
        <v>1</v>
      </c>
      <c r="C56" s="33">
        <v>1</v>
      </c>
      <c r="D56" s="33">
        <v>1</v>
      </c>
      <c r="E56" s="33">
        <v>1</v>
      </c>
      <c r="F56" s="34">
        <f>_xlfn.IFS(Настройки!$B$2="M",B56,Настройки!$B$2="L",C56,Настройки!$B$2="XL",D56)*E56</f>
        <v>1</v>
      </c>
      <c r="G56" s="35">
        <v>1251.1499999999999</v>
      </c>
      <c r="H56" s="22">
        <f>Настройки!$B$11/Константы!$B$1</f>
        <v>1</v>
      </c>
      <c r="I56" s="35">
        <f t="shared" si="8"/>
        <v>1251.1499999999999</v>
      </c>
      <c r="J56" s="35">
        <f t="shared" si="9"/>
        <v>1251.1499999999999</v>
      </c>
      <c r="K56" s="36" t="s">
        <v>41</v>
      </c>
      <c r="L56" s="14"/>
    </row>
    <row r="57" spans="1:12" x14ac:dyDescent="0.3">
      <c r="A57" s="19" t="s">
        <v>96</v>
      </c>
      <c r="B57" s="33">
        <v>1</v>
      </c>
      <c r="C57" s="33">
        <v>1</v>
      </c>
      <c r="D57" s="33">
        <v>1</v>
      </c>
      <c r="E57" s="33">
        <v>0</v>
      </c>
      <c r="F57" s="34">
        <f>_xlfn.IFS(Настройки!$B$2="M",B57,Настройки!$B$2="L",C57,Настройки!$B$2="XL",D57)*E57</f>
        <v>0</v>
      </c>
      <c r="G57" s="35">
        <v>381.9</v>
      </c>
      <c r="H57" s="22">
        <f>Настройки!$B$11/Константы!$B$1</f>
        <v>1</v>
      </c>
      <c r="I57" s="35">
        <f t="shared" si="8"/>
        <v>381.9</v>
      </c>
      <c r="J57" s="35">
        <f t="shared" si="9"/>
        <v>0</v>
      </c>
      <c r="K57" s="36" t="s">
        <v>41</v>
      </c>
      <c r="L57" s="14"/>
    </row>
    <row r="58" spans="1:12" x14ac:dyDescent="0.3">
      <c r="A58" s="19" t="s">
        <v>97</v>
      </c>
      <c r="B58" s="33">
        <v>2</v>
      </c>
      <c r="C58" s="33">
        <v>2</v>
      </c>
      <c r="D58" s="33">
        <v>2</v>
      </c>
      <c r="E58" s="33">
        <v>1</v>
      </c>
      <c r="F58" s="34">
        <f>_xlfn.IFS(Настройки!$B$2="M",B58,Настройки!$B$2="L",C58,Настройки!$B$2="XL",D58)*E58</f>
        <v>2</v>
      </c>
      <c r="G58" s="35">
        <v>56.762499999999996</v>
      </c>
      <c r="H58" s="22">
        <f>Настройки!$B$11/Константы!$B$1</f>
        <v>1</v>
      </c>
      <c r="I58" s="35">
        <f t="shared" si="8"/>
        <v>56.762499999999996</v>
      </c>
      <c r="J58" s="35">
        <f t="shared" si="9"/>
        <v>113.52499999999999</v>
      </c>
      <c r="K58" s="36" t="s">
        <v>41</v>
      </c>
      <c r="L58" s="14"/>
    </row>
    <row r="59" spans="1:12" x14ac:dyDescent="0.3">
      <c r="A59" s="19" t="s">
        <v>98</v>
      </c>
      <c r="B59" s="33">
        <v>3000</v>
      </c>
      <c r="C59" s="33">
        <v>3000</v>
      </c>
      <c r="D59" s="33">
        <v>4000</v>
      </c>
      <c r="E59" s="33">
        <v>1</v>
      </c>
      <c r="F59" s="34">
        <f>_xlfn.IFS(Настройки!$B$2="M",B59,Настройки!$B$2="L",C59,Настройки!$B$2="XL",D59)*E59</f>
        <v>3000</v>
      </c>
      <c r="G59" s="37">
        <v>0.13015000000000002</v>
      </c>
      <c r="H59" s="22">
        <f>Настройки!$B$11/Константы!$B$1</f>
        <v>1</v>
      </c>
      <c r="I59" s="37">
        <f t="shared" si="8"/>
        <v>0.13015000000000002</v>
      </c>
      <c r="J59" s="35">
        <f t="shared" si="9"/>
        <v>390.45000000000005</v>
      </c>
      <c r="K59" s="36" t="s">
        <v>41</v>
      </c>
      <c r="L59" s="14"/>
    </row>
    <row r="60" spans="1:12" x14ac:dyDescent="0.3">
      <c r="A60" s="19" t="s">
        <v>99</v>
      </c>
      <c r="B60" s="33">
        <v>1</v>
      </c>
      <c r="C60" s="33">
        <v>1</v>
      </c>
      <c r="D60" s="33">
        <v>1</v>
      </c>
      <c r="E60" s="33">
        <v>1</v>
      </c>
      <c r="F60" s="34">
        <f>_xlfn.IFS(Настройки!$B$2="M",B60,Настройки!$B$2="L",C60,Настройки!$B$2="XL",D60)*E60</f>
        <v>1</v>
      </c>
      <c r="G60" s="37">
        <f>372/5000</f>
        <v>7.4399999999999994E-2</v>
      </c>
      <c r="H60" s="22">
        <f>Настройки!$B$11/Константы!$B$1</f>
        <v>1</v>
      </c>
      <c r="I60" s="37">
        <f t="shared" si="8"/>
        <v>7.4399999999999994E-2</v>
      </c>
      <c r="J60" s="35">
        <f t="shared" si="9"/>
        <v>7.4399999999999994E-2</v>
      </c>
      <c r="K60" s="36" t="s">
        <v>46</v>
      </c>
      <c r="L60" s="14"/>
    </row>
    <row r="61" spans="1:12" x14ac:dyDescent="0.3">
      <c r="A61" s="19" t="s">
        <v>100</v>
      </c>
      <c r="B61" s="33">
        <v>10</v>
      </c>
      <c r="C61" s="33">
        <v>10</v>
      </c>
      <c r="D61" s="33">
        <v>10</v>
      </c>
      <c r="E61" s="33">
        <v>1</v>
      </c>
      <c r="F61" s="34">
        <f>_xlfn.IFS(Настройки!$B$2="M",B61,Настройки!$B$2="L",C61,Настройки!$B$2="XL",D61)*E61</f>
        <v>10</v>
      </c>
      <c r="G61" s="35">
        <v>33.487499999999997</v>
      </c>
      <c r="H61" s="22">
        <f>Настройки!$B$11/Константы!$B$1</f>
        <v>1</v>
      </c>
      <c r="I61" s="35">
        <f t="shared" si="8"/>
        <v>33.487499999999997</v>
      </c>
      <c r="J61" s="35">
        <f t="shared" si="9"/>
        <v>334.875</v>
      </c>
      <c r="K61" s="36" t="s">
        <v>41</v>
      </c>
      <c r="L61" s="14"/>
    </row>
    <row r="62" spans="1:12" x14ac:dyDescent="0.3">
      <c r="A62" s="19" t="s">
        <v>101</v>
      </c>
      <c r="B62" s="33">
        <v>2</v>
      </c>
      <c r="C62" s="33">
        <v>2</v>
      </c>
      <c r="D62" s="33">
        <v>2</v>
      </c>
      <c r="E62" s="33">
        <f>E46</f>
        <v>1</v>
      </c>
      <c r="F62" s="34">
        <f>_xlfn.IFS(Настройки!$B$2="M",B62,Настройки!$B$2="L",C62,Настройки!$B$2="XL",D62)*E62</f>
        <v>2</v>
      </c>
      <c r="G62" s="35">
        <v>20.804999999999996</v>
      </c>
      <c r="H62" s="22">
        <f>Настройки!$B$11/Константы!$B$1</f>
        <v>1</v>
      </c>
      <c r="I62" s="35">
        <v>18.600000000000001</v>
      </c>
      <c r="J62" s="35">
        <f t="shared" si="9"/>
        <v>37.200000000000003</v>
      </c>
      <c r="K62" s="36" t="s">
        <v>41</v>
      </c>
      <c r="L62" s="14" t="s">
        <v>102</v>
      </c>
    </row>
    <row r="63" spans="1:12" x14ac:dyDescent="0.3">
      <c r="A63" s="19" t="s">
        <v>103</v>
      </c>
      <c r="B63" s="33">
        <v>2108</v>
      </c>
      <c r="C63" s="33">
        <f>B63+300</f>
        <v>2408</v>
      </c>
      <c r="D63" s="33">
        <f>C63+400</f>
        <v>2808</v>
      </c>
      <c r="E63" s="33">
        <v>1</v>
      </c>
      <c r="F63" s="34">
        <f>_xlfn.IFS(Настройки!$B$2="M",B63,Настройки!$B$2="L",C63,Настройки!$B$2="XL",D63)*E63</f>
        <v>2108</v>
      </c>
      <c r="G63" s="37">
        <f>180/2500</f>
        <v>7.1999999999999995E-2</v>
      </c>
      <c r="H63" s="22">
        <f>Настройки!$B$11/Константы!$B$1</f>
        <v>1</v>
      </c>
      <c r="I63" s="37">
        <f>G63*H63</f>
        <v>7.1999999999999995E-2</v>
      </c>
      <c r="J63" s="35">
        <f t="shared" si="9"/>
        <v>151.77599999999998</v>
      </c>
      <c r="K63" s="36" t="s">
        <v>46</v>
      </c>
      <c r="L63" s="14"/>
    </row>
    <row r="64" spans="1:12" x14ac:dyDescent="0.3">
      <c r="A64" s="19" t="s">
        <v>492</v>
      </c>
      <c r="B64" s="33">
        <v>1</v>
      </c>
      <c r="C64" s="33">
        <v>1</v>
      </c>
      <c r="D64" s="33">
        <v>2</v>
      </c>
      <c r="E64" s="33">
        <v>1</v>
      </c>
      <c r="F64" s="34">
        <f>_xlfn.IFS(Настройки!$B$2="M",B64,Настройки!$B$2="L",C64,Настройки!$B$2="XL",D64)*E64</f>
        <v>1</v>
      </c>
      <c r="G64" s="35">
        <f>(2584+1082)*0.95</f>
        <v>3482.7</v>
      </c>
      <c r="H64" s="22">
        <f>Настройки!$B$11/Константы!$B$1</f>
        <v>1</v>
      </c>
      <c r="I64" s="35">
        <f>G64*H64</f>
        <v>3482.7</v>
      </c>
      <c r="J64" s="35">
        <f t="shared" si="9"/>
        <v>3482.7</v>
      </c>
      <c r="K64" s="36" t="s">
        <v>41</v>
      </c>
      <c r="L64" s="14" t="s">
        <v>493</v>
      </c>
    </row>
    <row r="65" spans="1:12" ht="57" x14ac:dyDescent="0.3">
      <c r="A65" s="19" t="s">
        <v>494</v>
      </c>
      <c r="B65" s="33">
        <v>2</v>
      </c>
      <c r="C65" s="33">
        <v>2</v>
      </c>
      <c r="D65" s="33">
        <v>3</v>
      </c>
      <c r="E65" s="33">
        <v>1</v>
      </c>
      <c r="F65" s="34">
        <f>_xlfn.IFS(Настройки!$B$2="M",B65,Настройки!$B$2="L",C65,Настройки!$B$2="XL",D65)*E65</f>
        <v>2</v>
      </c>
      <c r="G65" s="35">
        <v>109</v>
      </c>
      <c r="H65" s="22">
        <f>Настройки!$B$11/Константы!$B$1</f>
        <v>1</v>
      </c>
      <c r="I65" s="35">
        <f>G65*H65</f>
        <v>109</v>
      </c>
      <c r="J65" s="35">
        <f t="shared" si="9"/>
        <v>218</v>
      </c>
      <c r="K65" s="36" t="s">
        <v>41</v>
      </c>
      <c r="L65" s="14" t="s">
        <v>495</v>
      </c>
    </row>
  </sheetData>
  <mergeCells count="9">
    <mergeCell ref="A41:L41"/>
    <mergeCell ref="A54:L54"/>
    <mergeCell ref="L18:L19"/>
    <mergeCell ref="L25:L27"/>
    <mergeCell ref="A2:L2"/>
    <mergeCell ref="A10:L10"/>
    <mergeCell ref="A20:L20"/>
    <mergeCell ref="L32:L34"/>
    <mergeCell ref="L38:L40"/>
  </mergeCells>
  <dataValidations count="5">
    <dataValidation operator="equal" allowBlank="1" showErrorMessage="1" sqref="B1:L1 A55:L65 A21:L40 A11:L19 A3:L9 A42:L53 A66:A1063" xr:uid="{00000000-0002-0000-0100-000000000000}">
      <formula1>0</formula1>
      <formula2>0</formula2>
    </dataValidation>
    <dataValidation operator="equal" allowBlank="1" showInputMessage="1" showErrorMessage="1" promptTitle="Единиц / Длина" prompt="Для товаров, продающихся поштучно - количетство_x000a_единиц этого товара._x000a__x000a_Для товаров, продающихся погонажно - длина в_x000a_миллиметрах." sqref="F66:F1063" xr:uid="{00000000-0002-0000-0100-000001000000}">
      <formula1>0</formula1>
      <formula2>0</formula2>
    </dataValidation>
    <dataValidation operator="equal" allowBlank="1" showInputMessage="1" showErrorMessage="1" promptTitle="Цена единицы" prompt="Для товаров, продающихся поштучно - стоимость 1_x000a_единицы._x000a__x000a_Для товаров, продающихся погонажно - стоимость 1_x000a_миллиметра._x000a__x000a_Эта цена учитывает изменение курса относительно_x000a_того, который был актуален на момент составления_x000a_спецификации._x000a__x000a_Изменение значений в эт" sqref="I66:I1063" xr:uid="{00000000-0002-0000-0100-000002000000}">
      <formula1>0</formula1>
      <formula2>0</formula2>
    </dataValidation>
    <dataValidation operator="equal" allowBlank="1" showInputMessage="1" showErrorMessage="1" promptTitle="Цена итого" prompt="Суммарная цена всех единиц товара._x000a__x000a_Изменение значений в этом столбце влияет на_x000a_расчёт общей стоимости принтера." sqref="J66:J1063" xr:uid="{00000000-0002-0000-0100-000003000000}">
      <formula1>0</formula1>
      <formula2>0</formula2>
    </dataValidation>
    <dataValidation operator="equal" allowBlank="1" showInputMessage="1" showErrorMessage="1" promptTitle="Ссылки" prompt="Ссылки даны для ознакомления. Товары_x000a_подбирались исходя из принципа &quot;максимальное_x000a_качество за минимальные деньги&quot;. Если какой-то_x000a_товар закончился или не устраивает вас, то вы_x000a_можете заменить его на аналогичный. Главное_x000a_убедиться, что это действительно ана" sqref="K66:K1063" xr:uid="{00000000-0002-0000-0100-000004000000}">
      <formula1>0</formula1>
      <formula2>0</formula2>
    </dataValidation>
  </dataValidations>
  <hyperlinks>
    <hyperlink ref="K3" r:id="rId1" xr:uid="{00000000-0004-0000-0100-000000000000}"/>
    <hyperlink ref="K4" r:id="rId2" xr:uid="{00000000-0004-0000-0100-000001000000}"/>
    <hyperlink ref="K5" r:id="rId3" xr:uid="{00000000-0004-0000-0100-000003000000}"/>
    <hyperlink ref="K7" r:id="rId4" xr:uid="{00000000-0004-0000-0100-000004000000}"/>
    <hyperlink ref="K8" r:id="rId5" xr:uid="{00000000-0004-0000-0100-000005000000}"/>
    <hyperlink ref="K9" r:id="rId6" xr:uid="{00000000-0004-0000-0100-000006000000}"/>
    <hyperlink ref="K11" r:id="rId7" xr:uid="{00000000-0004-0000-0100-000007000000}"/>
    <hyperlink ref="K12" r:id="rId8" xr:uid="{00000000-0004-0000-0100-000008000000}"/>
    <hyperlink ref="K13" r:id="rId9" xr:uid="{00000000-0004-0000-0100-000009000000}"/>
    <hyperlink ref="K14" r:id="rId10" xr:uid="{00000000-0004-0000-0100-00000A000000}"/>
    <hyperlink ref="K15" r:id="rId11" xr:uid="{00000000-0004-0000-0100-00000B000000}"/>
    <hyperlink ref="K16" r:id="rId12" xr:uid="{00000000-0004-0000-0100-00000C000000}"/>
    <hyperlink ref="K17" r:id="rId13" xr:uid="{00000000-0004-0000-0100-00000D000000}"/>
    <hyperlink ref="K18" r:id="rId14" xr:uid="{00000000-0004-0000-0100-00000E000000}"/>
    <hyperlink ref="K19" r:id="rId15" xr:uid="{00000000-0004-0000-0100-00000F000000}"/>
    <hyperlink ref="K21" r:id="rId16" xr:uid="{00000000-0004-0000-0100-000010000000}"/>
    <hyperlink ref="K22" r:id="rId17" xr:uid="{00000000-0004-0000-0100-000011000000}"/>
    <hyperlink ref="K23" r:id="rId18" xr:uid="{00000000-0004-0000-0100-000012000000}"/>
    <hyperlink ref="K24" r:id="rId19" xr:uid="{00000000-0004-0000-0100-000013000000}"/>
    <hyperlink ref="K25" r:id="rId20" xr:uid="{00000000-0004-0000-0100-000014000000}"/>
    <hyperlink ref="K26" r:id="rId21" xr:uid="{00000000-0004-0000-0100-000015000000}"/>
    <hyperlink ref="K27" r:id="rId22" xr:uid="{00000000-0004-0000-0100-000016000000}"/>
    <hyperlink ref="K31" r:id="rId23" xr:uid="{00000000-0004-0000-0100-000018000000}"/>
    <hyperlink ref="K32" r:id="rId24" xr:uid="{00000000-0004-0000-0100-00001A000000}"/>
    <hyperlink ref="K33" r:id="rId25" xr:uid="{00000000-0004-0000-0100-00001B000000}"/>
    <hyperlink ref="K34" r:id="rId26" xr:uid="{00000000-0004-0000-0100-00001C000000}"/>
    <hyperlink ref="K35" r:id="rId27" xr:uid="{00000000-0004-0000-0100-00001D000000}"/>
    <hyperlink ref="K36" r:id="rId28" xr:uid="{00000000-0004-0000-0100-00001E000000}"/>
    <hyperlink ref="K37" r:id="rId29" xr:uid="{00000000-0004-0000-0100-00001F000000}"/>
    <hyperlink ref="K38" r:id="rId30" xr:uid="{00000000-0004-0000-0100-000020000000}"/>
    <hyperlink ref="K39" r:id="rId31" xr:uid="{00000000-0004-0000-0100-000021000000}"/>
    <hyperlink ref="K40" r:id="rId32" xr:uid="{00000000-0004-0000-0100-000022000000}"/>
    <hyperlink ref="K42" r:id="rId33" xr:uid="{00000000-0004-0000-0100-000023000000}"/>
    <hyperlink ref="K44" r:id="rId34" xr:uid="{00000000-0004-0000-0100-000025000000}"/>
    <hyperlink ref="K45" r:id="rId35" xr:uid="{00000000-0004-0000-0100-000026000000}"/>
    <hyperlink ref="K46" r:id="rId36" xr:uid="{00000000-0004-0000-0100-000027000000}"/>
    <hyperlink ref="K47" r:id="rId37" xr:uid="{00000000-0004-0000-0100-000028000000}"/>
    <hyperlink ref="K48" r:id="rId38" xr:uid="{00000000-0004-0000-0100-000029000000}"/>
    <hyperlink ref="K49" r:id="rId39" xr:uid="{00000000-0004-0000-0100-00002A000000}"/>
    <hyperlink ref="K50" r:id="rId40" xr:uid="{00000000-0004-0000-0100-00002B000000}"/>
    <hyperlink ref="K51" r:id="rId41" location="searchQuery=DIN+рейка&amp;searchType=srp" xr:uid="{00000000-0004-0000-0100-00002C000000}"/>
    <hyperlink ref="K52" r:id="rId42" location="searchQuery=DIN+рейка&amp;searchType=srp" xr:uid="{00000000-0004-0000-0100-00002D000000}"/>
    <hyperlink ref="K53" r:id="rId43" xr:uid="{00000000-0004-0000-0100-00002E000000}"/>
    <hyperlink ref="K55" r:id="rId44" xr:uid="{00000000-0004-0000-0100-00002F000000}"/>
    <hyperlink ref="K56" r:id="rId45" xr:uid="{00000000-0004-0000-0100-000030000000}"/>
    <hyperlink ref="K57" r:id="rId46" xr:uid="{00000000-0004-0000-0100-000031000000}"/>
    <hyperlink ref="K58" r:id="rId47" xr:uid="{00000000-0004-0000-0100-000032000000}"/>
    <hyperlink ref="K59" r:id="rId48" xr:uid="{00000000-0004-0000-0100-000033000000}"/>
    <hyperlink ref="K60" r:id="rId49" xr:uid="{00000000-0004-0000-0100-000034000000}"/>
    <hyperlink ref="K61" r:id="rId50" xr:uid="{00000000-0004-0000-0100-000035000000}"/>
    <hyperlink ref="K62" r:id="rId51" xr:uid="{00000000-0004-0000-0100-000036000000}"/>
    <hyperlink ref="K63" r:id="rId52" xr:uid="{00000000-0004-0000-0100-000037000000}"/>
    <hyperlink ref="K6" r:id="rId53" xr:uid="{3D81CFE8-FAFE-416F-82EA-67EBA9D6BDEF}"/>
    <hyperlink ref="K28" r:id="rId54" xr:uid="{E289BC85-DD7F-4F51-8ED3-0B3E8BAC841C}"/>
    <hyperlink ref="K29" r:id="rId55" xr:uid="{E2A98E00-6F4B-4F84-9D3E-C43B7199D938}"/>
    <hyperlink ref="K30" r:id="rId56" xr:uid="{DF872DC4-D03B-4198-808A-9C6EC940FBB7}"/>
    <hyperlink ref="K64" r:id="rId57" xr:uid="{35F2D96A-7BD3-4A72-B39B-F86669325006}"/>
    <hyperlink ref="K65" r:id="rId58" xr:uid="{DD7AFFBE-3E58-43F5-81DC-B9A9CB937C1D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59"/>
  <headerFooter>
    <oddHeader>&amp;C&amp;"Arial,Обычный"&amp;A</oddHeader>
    <oddFooter>&amp;C&amp;"Arial,Обычный"Page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O40"/>
  <sheetViews>
    <sheetView zoomScaleNormal="100" workbookViewId="0">
      <selection activeCell="K9" sqref="K9"/>
    </sheetView>
  </sheetViews>
  <sheetFormatPr defaultColWidth="10.625" defaultRowHeight="13.5" x14ac:dyDescent="0.25"/>
  <cols>
    <col min="1" max="1" width="13.125" style="4" customWidth="1"/>
    <col min="2" max="2" width="38.875" style="6" customWidth="1"/>
    <col min="3" max="3" width="10.625" style="4" customWidth="1"/>
    <col min="4" max="4" width="11.25" style="4" customWidth="1"/>
    <col min="5" max="7" width="10.625" style="4" hidden="1" customWidth="1"/>
    <col min="8" max="8" width="13.875" style="4" hidden="1" customWidth="1"/>
    <col min="9" max="9" width="10.625" style="4" hidden="1" customWidth="1"/>
    <col min="10" max="10" width="7.125" style="4" customWidth="1"/>
    <col min="11" max="11" width="10.625" style="7"/>
    <col min="12" max="12" width="13.25" style="8" customWidth="1"/>
    <col min="13" max="13" width="9.75" style="4" customWidth="1"/>
    <col min="16" max="16384" width="10.625" style="4"/>
  </cols>
  <sheetData>
    <row r="1" spans="1:13" ht="43.5" customHeight="1" x14ac:dyDescent="0.25">
      <c r="A1" s="16" t="s">
        <v>104</v>
      </c>
      <c r="B1" s="42" t="s">
        <v>32</v>
      </c>
      <c r="C1" s="30" t="s">
        <v>105</v>
      </c>
      <c r="D1" s="30" t="s">
        <v>106</v>
      </c>
      <c r="E1" s="16" t="s">
        <v>107</v>
      </c>
      <c r="F1" s="16" t="s">
        <v>108</v>
      </c>
      <c r="G1" s="16" t="s">
        <v>109</v>
      </c>
      <c r="H1" s="30" t="s">
        <v>110</v>
      </c>
      <c r="I1" s="16" t="s">
        <v>8</v>
      </c>
      <c r="J1" s="16" t="s">
        <v>111</v>
      </c>
      <c r="K1" s="40" t="s">
        <v>37</v>
      </c>
      <c r="L1" s="32" t="s">
        <v>38</v>
      </c>
      <c r="M1" s="16" t="s">
        <v>112</v>
      </c>
    </row>
    <row r="2" spans="1:13" ht="16.5" x14ac:dyDescent="0.25">
      <c r="A2" s="20"/>
      <c r="B2" s="50" t="s">
        <v>113</v>
      </c>
      <c r="C2" s="46"/>
      <c r="D2" s="34"/>
      <c r="E2" s="53">
        <v>37</v>
      </c>
      <c r="F2" s="53">
        <v>42</v>
      </c>
      <c r="G2" s="53">
        <v>42</v>
      </c>
      <c r="H2" s="34" cm="1">
        <f t="array" ref="H2">_xlfn.IFS(Настройки!$B$2="M",'Стандартные изд.'!E2,Настройки!$B$2="L",'Стандартные изд.'!F2,Настройки!$B$2="XL",'Стандартные изд.'!G3)</f>
        <v>37</v>
      </c>
      <c r="I2" s="34">
        <f>ROUNDUP(H2*0.1,0)</f>
        <v>4</v>
      </c>
      <c r="J2" s="34">
        <f t="shared" ref="J2:J40" si="0">H2+I2</f>
        <v>41</v>
      </c>
      <c r="K2" s="47">
        <f>188/10</f>
        <v>18.8</v>
      </c>
      <c r="L2" s="48">
        <f t="shared" ref="L2:L40" si="1">J2*K2</f>
        <v>770.80000000000007</v>
      </c>
      <c r="M2" s="36" t="s">
        <v>41</v>
      </c>
    </row>
    <row r="3" spans="1:13" ht="16.5" x14ac:dyDescent="0.25">
      <c r="A3" s="20"/>
      <c r="B3" s="50" t="s">
        <v>114</v>
      </c>
      <c r="C3" s="46"/>
      <c r="D3" s="34"/>
      <c r="E3" s="53">
        <v>58</v>
      </c>
      <c r="F3" s="53">
        <v>68</v>
      </c>
      <c r="G3" s="53">
        <v>68</v>
      </c>
      <c r="H3" s="34" cm="1">
        <f t="array" ref="H3">_xlfn.IFS(Настройки!$B$2="M",'Стандартные изд.'!E3,Настройки!$B$2="L",'Стандартные изд.'!F3,Настройки!$B$2="XL",'Стандартные изд.'!G4)</f>
        <v>58</v>
      </c>
      <c r="I3" s="34">
        <f t="shared" ref="I3:I40" si="2">ROUNDUP(H3*0.1,0)</f>
        <v>6</v>
      </c>
      <c r="J3" s="34">
        <f t="shared" si="0"/>
        <v>64</v>
      </c>
      <c r="K3" s="47">
        <f>427/10</f>
        <v>42.7</v>
      </c>
      <c r="L3" s="48">
        <f t="shared" si="1"/>
        <v>2732.8</v>
      </c>
      <c r="M3" s="36" t="s">
        <v>41</v>
      </c>
    </row>
    <row r="4" spans="1:13" ht="16.5" x14ac:dyDescent="0.25">
      <c r="A4" s="20"/>
      <c r="B4" s="50" t="s">
        <v>115</v>
      </c>
      <c r="C4" s="46"/>
      <c r="D4" s="34"/>
      <c r="E4" s="53">
        <v>2</v>
      </c>
      <c r="F4" s="53">
        <v>4</v>
      </c>
      <c r="G4" s="53">
        <v>4</v>
      </c>
      <c r="H4" s="34" cm="1">
        <f t="array" ref="H4">_xlfn.IFS(Настройки!$B$2="M",'Стандартные изд.'!E4,Настройки!$B$2="L",'Стандартные изд.'!F4,Настройки!$B$2="XL",'Стандартные изд.'!G5)</f>
        <v>2</v>
      </c>
      <c r="I4" s="34">
        <f t="shared" si="2"/>
        <v>1</v>
      </c>
      <c r="J4" s="34">
        <f t="shared" si="0"/>
        <v>3</v>
      </c>
      <c r="K4" s="47">
        <f>239/10</f>
        <v>23.9</v>
      </c>
      <c r="L4" s="48">
        <f t="shared" si="1"/>
        <v>71.699999999999989</v>
      </c>
      <c r="M4" s="36" t="s">
        <v>41</v>
      </c>
    </row>
    <row r="5" spans="1:13" ht="16.5" x14ac:dyDescent="0.25">
      <c r="A5" s="20"/>
      <c r="B5" s="50" t="s">
        <v>116</v>
      </c>
      <c r="C5" s="46"/>
      <c r="D5" s="34"/>
      <c r="E5" s="53">
        <v>2</v>
      </c>
      <c r="F5" s="53">
        <v>4</v>
      </c>
      <c r="G5" s="53">
        <v>4</v>
      </c>
      <c r="H5" s="34" cm="1">
        <f t="array" ref="H5">_xlfn.IFS(Настройки!$B$2="M",'Стандартные изд.'!E5,Настройки!$B$2="L",'Стандартные изд.'!F5,Настройки!$B$2="XL",'Стандартные изд.'!G6)</f>
        <v>2</v>
      </c>
      <c r="I5" s="34">
        <f t="shared" si="2"/>
        <v>1</v>
      </c>
      <c r="J5" s="34">
        <f t="shared" si="0"/>
        <v>3</v>
      </c>
      <c r="K5" s="47">
        <f>427/10</f>
        <v>42.7</v>
      </c>
      <c r="L5" s="48">
        <f t="shared" si="1"/>
        <v>128.10000000000002</v>
      </c>
      <c r="M5" s="36" t="s">
        <v>41</v>
      </c>
    </row>
    <row r="6" spans="1:13" ht="12.75" customHeight="1" x14ac:dyDescent="0.25">
      <c r="A6" s="95"/>
      <c r="B6" s="96" t="s">
        <v>117</v>
      </c>
      <c r="C6" s="46" t="s">
        <v>118</v>
      </c>
      <c r="D6" s="34">
        <v>3</v>
      </c>
      <c r="E6" s="34">
        <v>59</v>
      </c>
      <c r="F6" s="34">
        <v>69</v>
      </c>
      <c r="G6" s="34">
        <v>69</v>
      </c>
      <c r="H6" s="34" cm="1">
        <f t="array" ref="H6">_xlfn.IFS(Настройки!$B$2="M",'Стандартные изд.'!E6,Настройки!$B$2="L",'Стандартные изд.'!F6,Настройки!$B$2="XL",'Стандартные изд.'!G7)</f>
        <v>59</v>
      </c>
      <c r="I6" s="34">
        <f t="shared" si="2"/>
        <v>6</v>
      </c>
      <c r="J6" s="34">
        <f t="shared" si="0"/>
        <v>65</v>
      </c>
      <c r="K6" s="47">
        <f>135/50</f>
        <v>2.7</v>
      </c>
      <c r="L6" s="48">
        <f t="shared" si="1"/>
        <v>175.5</v>
      </c>
      <c r="M6" s="36" t="s">
        <v>41</v>
      </c>
    </row>
    <row r="7" spans="1:13" ht="16.5" x14ac:dyDescent="0.25">
      <c r="A7" s="95"/>
      <c r="B7" s="96" t="s">
        <v>117</v>
      </c>
      <c r="C7" s="46" t="s">
        <v>118</v>
      </c>
      <c r="D7" s="34">
        <v>5</v>
      </c>
      <c r="E7" s="34">
        <v>43</v>
      </c>
      <c r="F7" s="34">
        <v>53</v>
      </c>
      <c r="G7" s="34">
        <v>53</v>
      </c>
      <c r="H7" s="34" cm="1">
        <f t="array" ref="H7">_xlfn.IFS(Настройки!$B$2="M",'Стандартные изд.'!E7,Настройки!$B$2="L",'Стандартные изд.'!F7,Настройки!$B$2="XL",'Стандартные изд.'!G8)</f>
        <v>43</v>
      </c>
      <c r="I7" s="34">
        <f t="shared" si="2"/>
        <v>5</v>
      </c>
      <c r="J7" s="34">
        <f t="shared" si="0"/>
        <v>48</v>
      </c>
      <c r="K7" s="47">
        <f>151/50</f>
        <v>3.02</v>
      </c>
      <c r="L7" s="48">
        <f t="shared" si="1"/>
        <v>144.96</v>
      </c>
      <c r="M7" s="36" t="s">
        <v>41</v>
      </c>
    </row>
    <row r="8" spans="1:13" ht="16.5" x14ac:dyDescent="0.25">
      <c r="A8" s="20"/>
      <c r="B8" s="50" t="s">
        <v>119</v>
      </c>
      <c r="C8" s="46" t="s">
        <v>118</v>
      </c>
      <c r="D8" s="34">
        <v>5</v>
      </c>
      <c r="E8" s="34">
        <v>9</v>
      </c>
      <c r="F8" s="34">
        <v>9</v>
      </c>
      <c r="G8" s="34">
        <v>9</v>
      </c>
      <c r="H8" s="34" cm="1">
        <f t="array" ref="H8">_xlfn.IFS(Настройки!$B$2="M",'Стандартные изд.'!E8,Настройки!$B$2="L",'Стандартные изд.'!F8,Настройки!$B$2="XL",'Стандартные изд.'!G9)</f>
        <v>9</v>
      </c>
      <c r="I8" s="34">
        <f t="shared" si="2"/>
        <v>1</v>
      </c>
      <c r="J8" s="34">
        <f t="shared" si="0"/>
        <v>10</v>
      </c>
      <c r="K8" s="47">
        <f>88/100</f>
        <v>0.88</v>
      </c>
      <c r="L8" s="48">
        <f t="shared" si="1"/>
        <v>8.8000000000000007</v>
      </c>
      <c r="M8" s="36" t="s">
        <v>41</v>
      </c>
    </row>
    <row r="9" spans="1:13" ht="12.75" customHeight="1" x14ac:dyDescent="0.25">
      <c r="A9" s="95" t="s">
        <v>120</v>
      </c>
      <c r="B9" s="96" t="s">
        <v>121</v>
      </c>
      <c r="C9" s="46" t="s">
        <v>118</v>
      </c>
      <c r="D9" s="34"/>
      <c r="E9" s="34">
        <v>18</v>
      </c>
      <c r="F9" s="34">
        <v>18</v>
      </c>
      <c r="G9" s="34">
        <v>22</v>
      </c>
      <c r="H9" s="34" cm="1">
        <f t="array" ref="H9">_xlfn.IFS(Настройки!$B$2="M",'Стандартные изд.'!E9,Настройки!$B$2="L",'Стандартные изд.'!F9,Настройки!$B$2="XL",'Стандартные изд.'!G10)</f>
        <v>18</v>
      </c>
      <c r="I9" s="34">
        <f t="shared" si="2"/>
        <v>2</v>
      </c>
      <c r="J9" s="34">
        <f t="shared" si="0"/>
        <v>20</v>
      </c>
      <c r="K9" s="47">
        <v>1.3</v>
      </c>
      <c r="L9" s="48">
        <f t="shared" si="1"/>
        <v>26</v>
      </c>
      <c r="M9" s="36" t="s">
        <v>122</v>
      </c>
    </row>
    <row r="10" spans="1:13" ht="16.5" x14ac:dyDescent="0.25">
      <c r="A10" s="95"/>
      <c r="B10" s="96" t="s">
        <v>121</v>
      </c>
      <c r="C10" s="46" t="s">
        <v>123</v>
      </c>
      <c r="D10" s="34"/>
      <c r="E10" s="34">
        <v>8</v>
      </c>
      <c r="F10" s="34">
        <v>8</v>
      </c>
      <c r="G10" s="34">
        <v>8</v>
      </c>
      <c r="H10" s="34" cm="1">
        <f t="array" ref="H10">_xlfn.IFS(Настройки!$B$2="M",'Стандартные изд.'!E10,Настройки!$B$2="L",'Стандартные изд.'!F10,Настройки!$B$2="XL",'Стандартные изд.'!G11)</f>
        <v>8</v>
      </c>
      <c r="I10" s="34">
        <f t="shared" si="2"/>
        <v>1</v>
      </c>
      <c r="J10" s="34">
        <f t="shared" si="0"/>
        <v>9</v>
      </c>
      <c r="K10" s="47">
        <v>1.3</v>
      </c>
      <c r="L10" s="48">
        <f t="shared" si="1"/>
        <v>11.700000000000001</v>
      </c>
      <c r="M10" s="36" t="s">
        <v>122</v>
      </c>
    </row>
    <row r="11" spans="1:13" ht="12.75" customHeight="1" x14ac:dyDescent="0.25">
      <c r="A11" s="95"/>
      <c r="B11" s="96" t="s">
        <v>124</v>
      </c>
      <c r="C11" s="46" t="s">
        <v>118</v>
      </c>
      <c r="D11" s="34"/>
      <c r="E11" s="34">
        <v>28</v>
      </c>
      <c r="F11" s="34">
        <v>50</v>
      </c>
      <c r="G11" s="34">
        <v>52</v>
      </c>
      <c r="H11" s="34" cm="1">
        <f t="array" ref="H11">_xlfn.IFS(Настройки!$B$2="M",'Стандартные изд.'!E11,Настройки!$B$2="L",'Стандартные изд.'!F11,Настройки!$B$2="XL",'Стандартные изд.'!G12)</f>
        <v>28</v>
      </c>
      <c r="I11" s="34">
        <f t="shared" si="2"/>
        <v>3</v>
      </c>
      <c r="J11" s="34">
        <f t="shared" si="0"/>
        <v>31</v>
      </c>
      <c r="K11" s="47">
        <v>10.81</v>
      </c>
      <c r="L11" s="48">
        <f t="shared" si="1"/>
        <v>335.11</v>
      </c>
      <c r="M11" s="36" t="s">
        <v>41</v>
      </c>
    </row>
    <row r="12" spans="1:13" ht="16.5" x14ac:dyDescent="0.25">
      <c r="A12" s="95"/>
      <c r="B12" s="96" t="s">
        <v>124</v>
      </c>
      <c r="C12" s="46" t="s">
        <v>123</v>
      </c>
      <c r="D12" s="34"/>
      <c r="E12" s="34">
        <v>345</v>
      </c>
      <c r="F12" s="34">
        <v>403</v>
      </c>
      <c r="G12" s="34">
        <v>403</v>
      </c>
      <c r="H12" s="34" cm="1">
        <f t="array" ref="H12">_xlfn.IFS(Настройки!$B$2="M",'Стандартные изд.'!E12,Настройки!$B$2="L",'Стандартные изд.'!F12,Настройки!$B$2="XL",'Стандартные изд.'!G13)</f>
        <v>345</v>
      </c>
      <c r="I12" s="34">
        <f t="shared" si="2"/>
        <v>35</v>
      </c>
      <c r="J12" s="34">
        <f t="shared" si="0"/>
        <v>380</v>
      </c>
      <c r="K12" s="47">
        <v>9.76</v>
      </c>
      <c r="L12" s="48">
        <f t="shared" si="1"/>
        <v>3708.7999999999997</v>
      </c>
      <c r="M12" s="36" t="s">
        <v>41</v>
      </c>
    </row>
    <row r="13" spans="1:13" ht="16.5" x14ac:dyDescent="0.25">
      <c r="A13" s="20" t="s">
        <v>125</v>
      </c>
      <c r="B13" s="50" t="s">
        <v>126</v>
      </c>
      <c r="C13" s="46" t="s">
        <v>118</v>
      </c>
      <c r="D13" s="34">
        <v>5</v>
      </c>
      <c r="E13" s="34">
        <v>14</v>
      </c>
      <c r="F13" s="34">
        <v>14</v>
      </c>
      <c r="G13" s="34">
        <v>14</v>
      </c>
      <c r="H13" s="34" cm="1">
        <f t="array" ref="H13">_xlfn.IFS(Настройки!$B$2="M",'Стандартные изд.'!E13,Настройки!$B$2="L",'Стандартные изд.'!F13,Настройки!$B$2="XL",'Стандартные изд.'!G14)</f>
        <v>14</v>
      </c>
      <c r="I13" s="34">
        <f t="shared" si="2"/>
        <v>2</v>
      </c>
      <c r="J13" s="34">
        <f t="shared" si="0"/>
        <v>16</v>
      </c>
      <c r="K13" s="47">
        <f>134/10</f>
        <v>13.4</v>
      </c>
      <c r="L13" s="48">
        <f t="shared" si="1"/>
        <v>214.4</v>
      </c>
      <c r="M13" s="36" t="s">
        <v>41</v>
      </c>
    </row>
    <row r="14" spans="1:13" ht="16.5" x14ac:dyDescent="0.25">
      <c r="A14" s="20"/>
      <c r="B14" s="50" t="s">
        <v>127</v>
      </c>
      <c r="C14" s="46"/>
      <c r="D14" s="34"/>
      <c r="E14" s="53">
        <v>43</v>
      </c>
      <c r="F14" s="53">
        <v>48</v>
      </c>
      <c r="G14" s="53">
        <v>48</v>
      </c>
      <c r="H14" s="34" cm="1">
        <f t="array" ref="H14">_xlfn.IFS(Настройки!$B$2="M",'Стандартные изд.'!E14,Настройки!$B$2="L",'Стандартные изд.'!F14,Настройки!$B$2="XL",'Стандартные изд.'!G15)</f>
        <v>43</v>
      </c>
      <c r="I14" s="34">
        <f t="shared" si="2"/>
        <v>5</v>
      </c>
      <c r="J14" s="34">
        <f t="shared" si="0"/>
        <v>48</v>
      </c>
      <c r="K14" s="47">
        <v>0.5</v>
      </c>
      <c r="L14" s="48">
        <f t="shared" si="1"/>
        <v>24</v>
      </c>
      <c r="M14" s="36" t="s">
        <v>122</v>
      </c>
    </row>
    <row r="15" spans="1:13" ht="16.5" x14ac:dyDescent="0.25">
      <c r="A15" s="20"/>
      <c r="B15" s="50" t="s">
        <v>128</v>
      </c>
      <c r="C15" s="46"/>
      <c r="D15" s="34"/>
      <c r="E15" s="34">
        <v>4</v>
      </c>
      <c r="F15" s="34">
        <v>4</v>
      </c>
      <c r="G15" s="34">
        <v>4</v>
      </c>
      <c r="H15" s="34" cm="1">
        <f t="array" ref="H15">_xlfn.IFS(Настройки!$B$2="M",'Стандартные изд.'!E15,Настройки!$B$2="L",'Стандартные изд.'!F15,Настройки!$B$2="XL",'Стандартные изд.'!G16)</f>
        <v>4</v>
      </c>
      <c r="I15" s="34">
        <f t="shared" si="2"/>
        <v>1</v>
      </c>
      <c r="J15" s="34">
        <f t="shared" si="0"/>
        <v>5</v>
      </c>
      <c r="K15" s="47">
        <v>3.8</v>
      </c>
      <c r="L15" s="48">
        <f t="shared" si="1"/>
        <v>19</v>
      </c>
      <c r="M15" s="36" t="s">
        <v>122</v>
      </c>
    </row>
    <row r="16" spans="1:13" ht="16.5" x14ac:dyDescent="0.25">
      <c r="A16" s="20"/>
      <c r="B16" s="50" t="s">
        <v>129</v>
      </c>
      <c r="C16" s="46"/>
      <c r="D16" s="34"/>
      <c r="E16" s="34">
        <v>4</v>
      </c>
      <c r="F16" s="34">
        <v>8</v>
      </c>
      <c r="G16" s="34">
        <v>8</v>
      </c>
      <c r="H16" s="34" cm="1">
        <f t="array" ref="H16">_xlfn.IFS(Настройки!$B$2="M",'Стандартные изд.'!E16,Настройки!$B$2="L",'Стандартные изд.'!F16,Настройки!$B$2="XL",'Стандартные изд.'!G17)</f>
        <v>4</v>
      </c>
      <c r="I16" s="34">
        <f t="shared" si="2"/>
        <v>1</v>
      </c>
      <c r="J16" s="34">
        <f t="shared" si="0"/>
        <v>5</v>
      </c>
      <c r="K16" s="47">
        <v>11.4</v>
      </c>
      <c r="L16" s="48">
        <f t="shared" si="1"/>
        <v>57</v>
      </c>
      <c r="M16" s="36" t="s">
        <v>130</v>
      </c>
    </row>
    <row r="17" spans="1:13" ht="16.5" x14ac:dyDescent="0.25">
      <c r="A17" s="20"/>
      <c r="B17" s="50" t="s">
        <v>131</v>
      </c>
      <c r="C17" s="46"/>
      <c r="D17" s="34"/>
      <c r="E17" s="34">
        <v>4</v>
      </c>
      <c r="F17" s="34">
        <v>4</v>
      </c>
      <c r="G17" s="34">
        <v>4</v>
      </c>
      <c r="H17" s="34" cm="1">
        <f t="array" ref="H17">_xlfn.IFS(Настройки!$B$2="M",'Стандартные изд.'!E17,Настройки!$B$2="L",'Стандартные изд.'!F17,Настройки!$B$2="XL",'Стандартные изд.'!G18)</f>
        <v>4</v>
      </c>
      <c r="I17" s="34">
        <f t="shared" si="2"/>
        <v>1</v>
      </c>
      <c r="J17" s="34">
        <f t="shared" si="0"/>
        <v>5</v>
      </c>
      <c r="K17" s="47">
        <v>35.200000000000003</v>
      </c>
      <c r="L17" s="48">
        <f t="shared" si="1"/>
        <v>176</v>
      </c>
      <c r="M17" s="36" t="s">
        <v>41</v>
      </c>
    </row>
    <row r="18" spans="1:13" ht="12.75" customHeight="1" x14ac:dyDescent="0.25">
      <c r="A18" s="95" t="s">
        <v>132</v>
      </c>
      <c r="B18" s="96" t="s">
        <v>133</v>
      </c>
      <c r="C18" s="46" t="s">
        <v>134</v>
      </c>
      <c r="D18" s="34">
        <v>8</v>
      </c>
      <c r="E18" s="34">
        <v>4</v>
      </c>
      <c r="F18" s="34">
        <v>4</v>
      </c>
      <c r="G18" s="34">
        <v>4</v>
      </c>
      <c r="H18" s="34" cm="1">
        <f t="array" ref="H18">_xlfn.IFS(Настройки!$B$2="M",'Стандартные изд.'!E18,Настройки!$B$2="L",'Стандартные изд.'!F18,Настройки!$B$2="XL",'Стандартные изд.'!G19)</f>
        <v>4</v>
      </c>
      <c r="I18" s="34">
        <f t="shared" si="2"/>
        <v>1</v>
      </c>
      <c r="J18" s="34">
        <f t="shared" si="0"/>
        <v>5</v>
      </c>
      <c r="K18" s="47">
        <v>4.3</v>
      </c>
      <c r="L18" s="48">
        <f t="shared" si="1"/>
        <v>21.5</v>
      </c>
      <c r="M18" s="36" t="s">
        <v>122</v>
      </c>
    </row>
    <row r="19" spans="1:13" ht="16.5" x14ac:dyDescent="0.25">
      <c r="A19" s="95"/>
      <c r="B19" s="96" t="s">
        <v>133</v>
      </c>
      <c r="C19" s="46" t="s">
        <v>135</v>
      </c>
      <c r="D19" s="34">
        <v>8</v>
      </c>
      <c r="E19" s="34">
        <v>10</v>
      </c>
      <c r="F19" s="34">
        <v>10</v>
      </c>
      <c r="G19" s="34">
        <v>10</v>
      </c>
      <c r="H19" s="34" cm="1">
        <f t="array" ref="H19">_xlfn.IFS(Настройки!$B$2="M",'Стандартные изд.'!E19,Настройки!$B$2="L",'Стандартные изд.'!F19,Настройки!$B$2="XL",'Стандартные изд.'!G20)</f>
        <v>10</v>
      </c>
      <c r="I19" s="34">
        <f t="shared" si="2"/>
        <v>1</v>
      </c>
      <c r="J19" s="34">
        <f t="shared" si="0"/>
        <v>11</v>
      </c>
      <c r="K19" s="47">
        <v>3.9</v>
      </c>
      <c r="L19" s="48">
        <f t="shared" si="1"/>
        <v>42.9</v>
      </c>
      <c r="M19" s="36" t="s">
        <v>122</v>
      </c>
    </row>
    <row r="20" spans="1:13" ht="16.5" x14ac:dyDescent="0.25">
      <c r="A20" s="95"/>
      <c r="B20" s="96" t="s">
        <v>133</v>
      </c>
      <c r="C20" s="46" t="s">
        <v>118</v>
      </c>
      <c r="D20" s="34">
        <v>4</v>
      </c>
      <c r="E20" s="34">
        <v>14</v>
      </c>
      <c r="F20" s="34">
        <v>14</v>
      </c>
      <c r="G20" s="34">
        <v>14</v>
      </c>
      <c r="H20" s="34" cm="1">
        <f t="array" ref="H20">_xlfn.IFS(Настройки!$B$2="M",'Стандартные изд.'!E20,Настройки!$B$2="L",'Стандартные изд.'!F20,Настройки!$B$2="XL",'Стандартные изд.'!G21)</f>
        <v>14</v>
      </c>
      <c r="I20" s="34">
        <f t="shared" si="2"/>
        <v>2</v>
      </c>
      <c r="J20" s="34">
        <f t="shared" si="0"/>
        <v>16</v>
      </c>
      <c r="K20" s="47">
        <v>2.2000000000000002</v>
      </c>
      <c r="L20" s="48">
        <f t="shared" si="1"/>
        <v>35.200000000000003</v>
      </c>
      <c r="M20" s="36" t="s">
        <v>122</v>
      </c>
    </row>
    <row r="21" spans="1:13" ht="16.5" x14ac:dyDescent="0.25">
      <c r="A21" s="95"/>
      <c r="B21" s="96" t="s">
        <v>133</v>
      </c>
      <c r="C21" s="46" t="s">
        <v>118</v>
      </c>
      <c r="D21" s="34">
        <v>6</v>
      </c>
      <c r="E21" s="34">
        <v>57</v>
      </c>
      <c r="F21" s="34">
        <v>61</v>
      </c>
      <c r="G21" s="34">
        <v>61</v>
      </c>
      <c r="H21" s="34" cm="1">
        <f t="array" ref="H21">_xlfn.IFS(Настройки!$B$2="M",'Стандартные изд.'!E21,Настройки!$B$2="L",'Стандартные изд.'!F21,Настройки!$B$2="XL",'Стандартные изд.'!G22)</f>
        <v>57</v>
      </c>
      <c r="I21" s="34">
        <f t="shared" si="2"/>
        <v>6</v>
      </c>
      <c r="J21" s="34">
        <f t="shared" si="0"/>
        <v>63</v>
      </c>
      <c r="K21" s="47">
        <v>3</v>
      </c>
      <c r="L21" s="48">
        <f t="shared" si="1"/>
        <v>189</v>
      </c>
      <c r="M21" s="36" t="s">
        <v>122</v>
      </c>
    </row>
    <row r="22" spans="1:13" ht="16.5" x14ac:dyDescent="0.25">
      <c r="A22" s="95"/>
      <c r="B22" s="96" t="s">
        <v>133</v>
      </c>
      <c r="C22" s="46" t="s">
        <v>118</v>
      </c>
      <c r="D22" s="34">
        <v>8</v>
      </c>
      <c r="E22" s="34">
        <v>169</v>
      </c>
      <c r="F22" s="34">
        <v>205</v>
      </c>
      <c r="G22" s="34">
        <v>207</v>
      </c>
      <c r="H22" s="34" cm="1">
        <f t="array" ref="H22">_xlfn.IFS(Настройки!$B$2="M",'Стандартные изд.'!E22,Настройки!$B$2="L",'Стандартные изд.'!F22,Настройки!$B$2="XL",'Стандартные изд.'!G23)</f>
        <v>169</v>
      </c>
      <c r="I22" s="34">
        <f t="shared" si="2"/>
        <v>17</v>
      </c>
      <c r="J22" s="34">
        <f t="shared" si="0"/>
        <v>186</v>
      </c>
      <c r="K22" s="47">
        <v>2.6</v>
      </c>
      <c r="L22" s="48">
        <f t="shared" si="1"/>
        <v>483.6</v>
      </c>
      <c r="M22" s="36" t="s">
        <v>122</v>
      </c>
    </row>
    <row r="23" spans="1:13" ht="16.5" x14ac:dyDescent="0.25">
      <c r="A23" s="95"/>
      <c r="B23" s="96" t="s">
        <v>133</v>
      </c>
      <c r="C23" s="46" t="s">
        <v>118</v>
      </c>
      <c r="D23" s="34">
        <v>10</v>
      </c>
      <c r="E23" s="34">
        <v>52</v>
      </c>
      <c r="F23" s="34">
        <v>56</v>
      </c>
      <c r="G23" s="34">
        <v>60</v>
      </c>
      <c r="H23" s="34" cm="1">
        <f t="array" ref="H23">_xlfn.IFS(Настройки!$B$2="M",'Стандартные изд.'!E23,Настройки!$B$2="L",'Стандартные изд.'!F23,Настройки!$B$2="XL",'Стандартные изд.'!G24)</f>
        <v>52</v>
      </c>
      <c r="I23" s="34">
        <f t="shared" si="2"/>
        <v>6</v>
      </c>
      <c r="J23" s="34">
        <f t="shared" si="0"/>
        <v>58</v>
      </c>
      <c r="K23" s="47">
        <v>3</v>
      </c>
      <c r="L23" s="48">
        <f t="shared" si="1"/>
        <v>174</v>
      </c>
      <c r="M23" s="36" t="s">
        <v>122</v>
      </c>
    </row>
    <row r="24" spans="1:13" ht="16.5" x14ac:dyDescent="0.25">
      <c r="A24" s="95"/>
      <c r="B24" s="96" t="s">
        <v>133</v>
      </c>
      <c r="C24" s="46" t="s">
        <v>118</v>
      </c>
      <c r="D24" s="34">
        <v>12</v>
      </c>
      <c r="E24" s="34">
        <v>7</v>
      </c>
      <c r="F24" s="34">
        <v>11</v>
      </c>
      <c r="G24" s="34">
        <v>11</v>
      </c>
      <c r="H24" s="34" cm="1">
        <f t="array" ref="H24">_xlfn.IFS(Настройки!$B$2="M",'Стандартные изд.'!E24,Настройки!$B$2="L",'Стандартные изд.'!F24,Настройки!$B$2="XL",'Стандартные изд.'!G25)</f>
        <v>7</v>
      </c>
      <c r="I24" s="34">
        <f t="shared" si="2"/>
        <v>1</v>
      </c>
      <c r="J24" s="34">
        <f t="shared" si="0"/>
        <v>8</v>
      </c>
      <c r="K24" s="47">
        <v>2.8</v>
      </c>
      <c r="L24" s="48">
        <f t="shared" si="1"/>
        <v>22.4</v>
      </c>
      <c r="M24" s="36" t="s">
        <v>122</v>
      </c>
    </row>
    <row r="25" spans="1:13" ht="16.5" x14ac:dyDescent="0.25">
      <c r="A25" s="95"/>
      <c r="B25" s="96" t="s">
        <v>133</v>
      </c>
      <c r="C25" s="46" t="s">
        <v>118</v>
      </c>
      <c r="D25" s="34">
        <v>16</v>
      </c>
      <c r="E25" s="34">
        <v>18</v>
      </c>
      <c r="F25" s="34">
        <v>18</v>
      </c>
      <c r="G25" s="34">
        <v>18</v>
      </c>
      <c r="H25" s="34" cm="1">
        <f t="array" ref="H25">_xlfn.IFS(Настройки!$B$2="M",'Стандартные изд.'!E25,Настройки!$B$2="L",'Стандартные изд.'!F25,Настройки!$B$2="XL",'Стандартные изд.'!G26)</f>
        <v>18</v>
      </c>
      <c r="I25" s="34">
        <f t="shared" si="2"/>
        <v>2</v>
      </c>
      <c r="J25" s="34">
        <f t="shared" si="0"/>
        <v>20</v>
      </c>
      <c r="K25" s="47">
        <v>3.4</v>
      </c>
      <c r="L25" s="48">
        <f t="shared" si="1"/>
        <v>68</v>
      </c>
      <c r="M25" s="36" t="s">
        <v>122</v>
      </c>
    </row>
    <row r="26" spans="1:13" ht="16.5" x14ac:dyDescent="0.25">
      <c r="A26" s="95"/>
      <c r="B26" s="96" t="s">
        <v>133</v>
      </c>
      <c r="C26" s="46" t="s">
        <v>118</v>
      </c>
      <c r="D26" s="34">
        <v>25</v>
      </c>
      <c r="E26" s="34">
        <v>14</v>
      </c>
      <c r="F26" s="34">
        <v>19</v>
      </c>
      <c r="G26" s="34">
        <v>19</v>
      </c>
      <c r="H26" s="34" cm="1">
        <f t="array" ref="H26">_xlfn.IFS(Настройки!$B$2="M",'Стандартные изд.'!E26,Настройки!$B$2="L",'Стандартные изд.'!F26,Настройки!$B$2="XL",'Стандартные изд.'!G27)</f>
        <v>14</v>
      </c>
      <c r="I26" s="34">
        <f t="shared" si="2"/>
        <v>2</v>
      </c>
      <c r="J26" s="34">
        <f t="shared" si="0"/>
        <v>16</v>
      </c>
      <c r="K26" s="47">
        <v>4.7</v>
      </c>
      <c r="L26" s="48">
        <f t="shared" si="1"/>
        <v>75.2</v>
      </c>
      <c r="M26" s="36" t="s">
        <v>122</v>
      </c>
    </row>
    <row r="27" spans="1:13" ht="16.5" x14ac:dyDescent="0.25">
      <c r="A27" s="95"/>
      <c r="B27" s="96" t="s">
        <v>133</v>
      </c>
      <c r="C27" s="46" t="s">
        <v>118</v>
      </c>
      <c r="D27" s="34">
        <v>30</v>
      </c>
      <c r="E27" s="34">
        <v>6</v>
      </c>
      <c r="F27" s="34">
        <v>6</v>
      </c>
      <c r="G27" s="34">
        <v>6</v>
      </c>
      <c r="H27" s="34" cm="1">
        <f t="array" ref="H27">_xlfn.IFS(Настройки!$B$2="M",'Стандартные изд.'!E27,Настройки!$B$2="L",'Стандартные изд.'!F27,Настройки!$B$2="XL",'Стандартные изд.'!G28)</f>
        <v>6</v>
      </c>
      <c r="I27" s="34">
        <f t="shared" si="2"/>
        <v>1</v>
      </c>
      <c r="J27" s="34">
        <f t="shared" si="0"/>
        <v>7</v>
      </c>
      <c r="K27" s="47">
        <v>6</v>
      </c>
      <c r="L27" s="48">
        <f t="shared" si="1"/>
        <v>42</v>
      </c>
      <c r="M27" s="36" t="s">
        <v>122</v>
      </c>
    </row>
    <row r="28" spans="1:13" ht="16.5" x14ac:dyDescent="0.25">
      <c r="A28" s="95"/>
      <c r="B28" s="96" t="s">
        <v>133</v>
      </c>
      <c r="C28" s="46" t="s">
        <v>118</v>
      </c>
      <c r="D28" s="34">
        <v>35</v>
      </c>
      <c r="E28" s="34">
        <v>20</v>
      </c>
      <c r="F28" s="34">
        <v>30</v>
      </c>
      <c r="G28" s="34">
        <v>30</v>
      </c>
      <c r="H28" s="34" cm="1">
        <f t="array" ref="H28">_xlfn.IFS(Настройки!$B$2="M",'Стандартные изд.'!E28,Настройки!$B$2="L",'Стандартные изд.'!F28,Настройки!$B$2="XL",'Стандартные изд.'!G29)</f>
        <v>20</v>
      </c>
      <c r="I28" s="34">
        <f t="shared" si="2"/>
        <v>2</v>
      </c>
      <c r="J28" s="34">
        <f t="shared" si="0"/>
        <v>22</v>
      </c>
      <c r="K28" s="47">
        <v>6.8</v>
      </c>
      <c r="L28" s="48">
        <f t="shared" si="1"/>
        <v>149.6</v>
      </c>
      <c r="M28" s="36" t="s">
        <v>122</v>
      </c>
    </row>
    <row r="29" spans="1:13" ht="16.5" x14ac:dyDescent="0.25">
      <c r="A29" s="95"/>
      <c r="B29" s="96" t="s">
        <v>133</v>
      </c>
      <c r="C29" s="46" t="s">
        <v>118</v>
      </c>
      <c r="D29" s="34">
        <v>50</v>
      </c>
      <c r="E29" s="34">
        <v>12</v>
      </c>
      <c r="F29" s="34">
        <v>12</v>
      </c>
      <c r="G29" s="34">
        <v>12</v>
      </c>
      <c r="H29" s="34" cm="1">
        <f t="array" ref="H29">_xlfn.IFS(Настройки!$B$2="M",'Стандартные изд.'!E29,Настройки!$B$2="L",'Стандартные изд.'!F29,Настройки!$B$2="XL",'Стандартные изд.'!G30)</f>
        <v>12</v>
      </c>
      <c r="I29" s="34">
        <f t="shared" si="2"/>
        <v>2</v>
      </c>
      <c r="J29" s="34">
        <f t="shared" si="0"/>
        <v>14</v>
      </c>
      <c r="K29" s="47">
        <v>9.1999999999999993</v>
      </c>
      <c r="L29" s="48">
        <f t="shared" si="1"/>
        <v>128.79999999999998</v>
      </c>
      <c r="M29" s="36" t="s">
        <v>122</v>
      </c>
    </row>
    <row r="30" spans="1:13" ht="16.5" x14ac:dyDescent="0.25">
      <c r="A30" s="95"/>
      <c r="B30" s="96" t="s">
        <v>133</v>
      </c>
      <c r="C30" s="46" t="s">
        <v>123</v>
      </c>
      <c r="D30" s="34">
        <v>20</v>
      </c>
      <c r="E30" s="34">
        <v>4</v>
      </c>
      <c r="F30" s="34">
        <v>4</v>
      </c>
      <c r="G30" s="34">
        <v>4</v>
      </c>
      <c r="H30" s="34" cm="1">
        <f t="array" ref="H30">_xlfn.IFS(Настройки!$B$2="M",'Стандартные изд.'!E30,Настройки!$B$2="L",'Стандартные изд.'!F30,Настройки!$B$2="XL",'Стандартные изд.'!G31)</f>
        <v>4</v>
      </c>
      <c r="I30" s="34">
        <f t="shared" si="2"/>
        <v>1</v>
      </c>
      <c r="J30" s="34">
        <f t="shared" si="0"/>
        <v>5</v>
      </c>
      <c r="K30" s="47">
        <v>12.1</v>
      </c>
      <c r="L30" s="48">
        <f t="shared" si="1"/>
        <v>60.5</v>
      </c>
      <c r="M30" s="36" t="s">
        <v>122</v>
      </c>
    </row>
    <row r="31" spans="1:13" ht="16.5" x14ac:dyDescent="0.25">
      <c r="A31" s="95"/>
      <c r="B31" s="96" t="s">
        <v>133</v>
      </c>
      <c r="C31" s="46" t="s">
        <v>123</v>
      </c>
      <c r="D31" s="34">
        <v>35</v>
      </c>
      <c r="E31" s="34">
        <v>4</v>
      </c>
      <c r="F31" s="34">
        <v>4</v>
      </c>
      <c r="G31" s="34">
        <v>4</v>
      </c>
      <c r="H31" s="34" cm="1">
        <f t="array" ref="H31">_xlfn.IFS(Настройки!$B$2="M",'Стандартные изд.'!E31,Настройки!$B$2="L",'Стандартные изд.'!F31,Настройки!$B$2="XL",'Стандартные изд.'!G32)</f>
        <v>4</v>
      </c>
      <c r="I31" s="34">
        <f t="shared" si="2"/>
        <v>1</v>
      </c>
      <c r="J31" s="34">
        <f t="shared" si="0"/>
        <v>5</v>
      </c>
      <c r="K31" s="47">
        <v>10.9</v>
      </c>
      <c r="L31" s="48">
        <f t="shared" si="1"/>
        <v>54.5</v>
      </c>
      <c r="M31" s="36" t="s">
        <v>122</v>
      </c>
    </row>
    <row r="32" spans="1:13" ht="12.75" customHeight="1" x14ac:dyDescent="0.25">
      <c r="A32" s="95" t="s">
        <v>136</v>
      </c>
      <c r="B32" s="96" t="s">
        <v>137</v>
      </c>
      <c r="C32" s="46" t="s">
        <v>118</v>
      </c>
      <c r="D32" s="34">
        <v>10</v>
      </c>
      <c r="E32" s="34">
        <v>13</v>
      </c>
      <c r="F32" s="34">
        <v>13</v>
      </c>
      <c r="G32" s="34">
        <v>13</v>
      </c>
      <c r="H32" s="34" cm="1">
        <f t="array" ref="H32">_xlfn.IFS(Настройки!$B$2="M",'Стандартные изд.'!E32,Настройки!$B$2="L",'Стандартные изд.'!F32,Настройки!$B$2="XL",'Стандартные изд.'!G33)</f>
        <v>13</v>
      </c>
      <c r="I32" s="34">
        <f t="shared" si="2"/>
        <v>2</v>
      </c>
      <c r="J32" s="34">
        <f t="shared" si="0"/>
        <v>15</v>
      </c>
      <c r="K32" s="47">
        <v>2.7</v>
      </c>
      <c r="L32" s="48">
        <f t="shared" si="1"/>
        <v>40.5</v>
      </c>
      <c r="M32" s="36" t="s">
        <v>122</v>
      </c>
    </row>
    <row r="33" spans="1:13" ht="16.5" x14ac:dyDescent="0.25">
      <c r="A33" s="95"/>
      <c r="B33" s="96" t="s">
        <v>137</v>
      </c>
      <c r="C33" s="46" t="s">
        <v>123</v>
      </c>
      <c r="D33" s="34">
        <v>8</v>
      </c>
      <c r="E33" s="34">
        <v>178</v>
      </c>
      <c r="F33" s="34">
        <v>188</v>
      </c>
      <c r="G33" s="34">
        <v>188</v>
      </c>
      <c r="H33" s="34" cm="1">
        <f t="array" ref="H33">_xlfn.IFS(Настройки!$B$2="M",'Стандартные изд.'!E33,Настройки!$B$2="L",'Стандартные изд.'!F33,Настройки!$B$2="XL",'Стандартные изд.'!G34)</f>
        <v>178</v>
      </c>
      <c r="I33" s="34">
        <f t="shared" si="2"/>
        <v>18</v>
      </c>
      <c r="J33" s="34">
        <f t="shared" si="0"/>
        <v>196</v>
      </c>
      <c r="K33" s="47">
        <v>2</v>
      </c>
      <c r="L33" s="48">
        <f t="shared" si="1"/>
        <v>392</v>
      </c>
      <c r="M33" s="36" t="s">
        <v>122</v>
      </c>
    </row>
    <row r="34" spans="1:13" ht="16.5" x14ac:dyDescent="0.25">
      <c r="A34" s="95"/>
      <c r="B34" s="96" t="s">
        <v>137</v>
      </c>
      <c r="C34" s="46" t="s">
        <v>138</v>
      </c>
      <c r="D34" s="34">
        <v>10</v>
      </c>
      <c r="E34" s="34">
        <v>28</v>
      </c>
      <c r="F34" s="34">
        <v>28</v>
      </c>
      <c r="G34" s="34">
        <v>28</v>
      </c>
      <c r="H34" s="34" cm="1">
        <f t="array" ref="H34">_xlfn.IFS(Настройки!$B$2="M",'Стандартные изд.'!E34,Настройки!$B$2="L",'Стандартные изд.'!F34,Настройки!$B$2="XL",'Стандартные изд.'!G35)</f>
        <v>28</v>
      </c>
      <c r="I34" s="34">
        <f t="shared" si="2"/>
        <v>3</v>
      </c>
      <c r="J34" s="34">
        <f t="shared" si="0"/>
        <v>31</v>
      </c>
      <c r="K34" s="47">
        <v>8.5</v>
      </c>
      <c r="L34" s="48">
        <f t="shared" si="1"/>
        <v>263.5</v>
      </c>
      <c r="M34" s="36" t="s">
        <v>122</v>
      </c>
    </row>
    <row r="35" spans="1:13" ht="16.5" x14ac:dyDescent="0.25">
      <c r="A35" s="95"/>
      <c r="B35" s="96" t="s">
        <v>137</v>
      </c>
      <c r="C35" s="33" t="s">
        <v>138</v>
      </c>
      <c r="D35" s="33">
        <v>40</v>
      </c>
      <c r="E35" s="33">
        <v>18</v>
      </c>
      <c r="F35" s="33">
        <v>18</v>
      </c>
      <c r="G35" s="33">
        <v>18</v>
      </c>
      <c r="H35" s="34" cm="1">
        <f t="array" ref="H35">_xlfn.IFS(Настройки!$B$2="M",'Стандартные изд.'!E35,Настройки!$B$2="L",'Стандартные изд.'!F35,Настройки!$B$2="XL",'Стандартные изд.'!G36)</f>
        <v>18</v>
      </c>
      <c r="I35" s="34">
        <f t="shared" si="2"/>
        <v>2</v>
      </c>
      <c r="J35" s="34">
        <f t="shared" si="0"/>
        <v>20</v>
      </c>
      <c r="K35" s="47">
        <v>14.8</v>
      </c>
      <c r="L35" s="48">
        <f t="shared" si="1"/>
        <v>296</v>
      </c>
      <c r="M35" s="36" t="s">
        <v>122</v>
      </c>
    </row>
    <row r="36" spans="1:13" ht="16.5" x14ac:dyDescent="0.25">
      <c r="A36" s="20" t="s">
        <v>139</v>
      </c>
      <c r="B36" s="50" t="s">
        <v>140</v>
      </c>
      <c r="C36" s="46" t="s">
        <v>123</v>
      </c>
      <c r="D36" s="34">
        <v>8</v>
      </c>
      <c r="E36" s="34">
        <v>165</v>
      </c>
      <c r="F36" s="34">
        <v>213</v>
      </c>
      <c r="G36" s="34">
        <v>213</v>
      </c>
      <c r="H36" s="34" cm="1">
        <f t="array" ref="H36">_xlfn.IFS(Настройки!$B$2="M",'Стандартные изд.'!E36,Настройки!$B$2="L",'Стандартные изд.'!F36,Настройки!$B$2="XL",'Стандартные изд.'!G37)</f>
        <v>165</v>
      </c>
      <c r="I36" s="34">
        <f t="shared" si="2"/>
        <v>17</v>
      </c>
      <c r="J36" s="34">
        <f t="shared" si="0"/>
        <v>182</v>
      </c>
      <c r="K36" s="47">
        <f>138/30</f>
        <v>4.5999999999999996</v>
      </c>
      <c r="L36" s="48">
        <f t="shared" si="1"/>
        <v>837.19999999999993</v>
      </c>
      <c r="M36" s="36" t="s">
        <v>41</v>
      </c>
    </row>
    <row r="37" spans="1:13" ht="12.75" customHeight="1" x14ac:dyDescent="0.25">
      <c r="A37" s="95" t="s">
        <v>141</v>
      </c>
      <c r="B37" s="96" t="s">
        <v>142</v>
      </c>
      <c r="C37" s="46" t="s">
        <v>118</v>
      </c>
      <c r="D37" s="34">
        <v>6</v>
      </c>
      <c r="E37" s="34">
        <v>24</v>
      </c>
      <c r="F37" s="34">
        <v>24</v>
      </c>
      <c r="G37" s="34">
        <v>24</v>
      </c>
      <c r="H37" s="34" cm="1">
        <f t="array" ref="H37">_xlfn.IFS(Настройки!$B$2="M",'Стандартные изд.'!E37,Настройки!$B$2="L",'Стандартные изд.'!F37,Настройки!$B$2="XL",'Стандартные изд.'!G38)</f>
        <v>24</v>
      </c>
      <c r="I37" s="34">
        <f t="shared" si="2"/>
        <v>3</v>
      </c>
      <c r="J37" s="34">
        <f t="shared" si="0"/>
        <v>27</v>
      </c>
      <c r="K37" s="47">
        <v>2</v>
      </c>
      <c r="L37" s="48">
        <f t="shared" si="1"/>
        <v>54</v>
      </c>
      <c r="M37" s="49" t="s">
        <v>122</v>
      </c>
    </row>
    <row r="38" spans="1:13" ht="16.5" x14ac:dyDescent="0.25">
      <c r="A38" s="95"/>
      <c r="B38" s="96" t="s">
        <v>142</v>
      </c>
      <c r="C38" s="33" t="s">
        <v>118</v>
      </c>
      <c r="D38" s="33">
        <v>20</v>
      </c>
      <c r="E38" s="33">
        <v>6</v>
      </c>
      <c r="F38" s="33">
        <v>6</v>
      </c>
      <c r="G38" s="33">
        <v>6</v>
      </c>
      <c r="H38" s="34" cm="1">
        <f t="array" ref="H38">_xlfn.IFS(Настройки!$B$2="M",'Стандартные изд.'!E38,Настройки!$B$2="L",'Стандартные изд.'!F38,Настройки!$B$2="XL",'Стандартные изд.'!G39)</f>
        <v>6</v>
      </c>
      <c r="I38" s="34">
        <f t="shared" si="2"/>
        <v>1</v>
      </c>
      <c r="J38" s="34">
        <f t="shared" si="0"/>
        <v>7</v>
      </c>
      <c r="K38" s="47">
        <v>3</v>
      </c>
      <c r="L38" s="48">
        <f t="shared" si="1"/>
        <v>21</v>
      </c>
      <c r="M38" s="49" t="s">
        <v>122</v>
      </c>
    </row>
    <row r="39" spans="1:13" ht="16.5" x14ac:dyDescent="0.25">
      <c r="A39" s="95"/>
      <c r="B39" s="96" t="s">
        <v>142</v>
      </c>
      <c r="C39" s="33" t="s">
        <v>118</v>
      </c>
      <c r="D39" s="33">
        <v>50</v>
      </c>
      <c r="E39" s="33">
        <v>17</v>
      </c>
      <c r="F39" s="33">
        <v>17</v>
      </c>
      <c r="G39" s="33">
        <v>17</v>
      </c>
      <c r="H39" s="34" cm="1">
        <f t="array" ref="H39">_xlfn.IFS(Настройки!$B$2="M",'Стандартные изд.'!E39,Настройки!$B$2="L",'Стандартные изд.'!F39,Настройки!$B$2="XL",'Стандартные изд.'!G40)</f>
        <v>17</v>
      </c>
      <c r="I39" s="34">
        <f t="shared" si="2"/>
        <v>2</v>
      </c>
      <c r="J39" s="34">
        <f t="shared" si="0"/>
        <v>19</v>
      </c>
      <c r="K39" s="47">
        <v>9</v>
      </c>
      <c r="L39" s="48">
        <f t="shared" si="1"/>
        <v>171</v>
      </c>
      <c r="M39" s="49" t="s">
        <v>122</v>
      </c>
    </row>
    <row r="40" spans="1:13" ht="16.5" x14ac:dyDescent="0.25">
      <c r="A40" s="95"/>
      <c r="B40" s="96" t="s">
        <v>142</v>
      </c>
      <c r="C40" s="33" t="s">
        <v>123</v>
      </c>
      <c r="D40" s="33">
        <v>8</v>
      </c>
      <c r="E40" s="33">
        <v>10</v>
      </c>
      <c r="F40" s="33">
        <v>10</v>
      </c>
      <c r="G40" s="33">
        <v>12</v>
      </c>
      <c r="H40" s="34" cm="1">
        <f t="array" ref="H40">_xlfn.IFS(Настройки!$B$2="M",'Стандартные изд.'!E40,Настройки!$B$2="L",'Стандартные изд.'!F40,Настройки!$B$2="XL",'Стандартные изд.'!G41)</f>
        <v>10</v>
      </c>
      <c r="I40" s="34">
        <f t="shared" si="2"/>
        <v>1</v>
      </c>
      <c r="J40" s="34">
        <f t="shared" si="0"/>
        <v>11</v>
      </c>
      <c r="K40" s="47">
        <v>1.9</v>
      </c>
      <c r="L40" s="48">
        <f t="shared" si="1"/>
        <v>20.9</v>
      </c>
      <c r="M40" s="49" t="s">
        <v>122</v>
      </c>
    </row>
  </sheetData>
  <mergeCells count="12">
    <mergeCell ref="A6:A7"/>
    <mergeCell ref="B6:B7"/>
    <mergeCell ref="A9:A10"/>
    <mergeCell ref="B9:B10"/>
    <mergeCell ref="A11:A12"/>
    <mergeCell ref="B11:B12"/>
    <mergeCell ref="A18:A31"/>
    <mergeCell ref="B18:B31"/>
    <mergeCell ref="A32:A35"/>
    <mergeCell ref="B32:B35"/>
    <mergeCell ref="A37:A40"/>
    <mergeCell ref="B37:B40"/>
  </mergeCells>
  <dataValidations count="1">
    <dataValidation operator="equal" allowBlank="1" showErrorMessage="1" sqref="C60:M1040 A41:B1040 D41:M59 A1:M40" xr:uid="{00000000-0002-0000-0200-000000000000}">
      <formula1>0</formula1>
      <formula2>0</formula2>
    </dataValidation>
  </dataValidations>
  <hyperlinks>
    <hyperlink ref="M2" r:id="rId1" xr:uid="{00000000-0004-0000-0200-000000000000}"/>
    <hyperlink ref="M3" r:id="rId2" xr:uid="{00000000-0004-0000-0200-000001000000}"/>
    <hyperlink ref="M4" r:id="rId3" xr:uid="{00000000-0004-0000-0200-000002000000}"/>
    <hyperlink ref="M5" r:id="rId4" xr:uid="{00000000-0004-0000-0200-000003000000}"/>
    <hyperlink ref="M6" r:id="rId5" xr:uid="{00000000-0004-0000-0200-000004000000}"/>
    <hyperlink ref="M7" r:id="rId6" xr:uid="{00000000-0004-0000-0200-000005000000}"/>
    <hyperlink ref="M8" r:id="rId7" xr:uid="{00000000-0004-0000-0200-000006000000}"/>
    <hyperlink ref="M9" r:id="rId8" xr:uid="{00000000-0004-0000-0200-000007000000}"/>
    <hyperlink ref="M10" r:id="rId9" xr:uid="{00000000-0004-0000-0200-000008000000}"/>
    <hyperlink ref="M11" r:id="rId10" xr:uid="{00000000-0004-0000-0200-000009000000}"/>
    <hyperlink ref="M12" r:id="rId11" xr:uid="{00000000-0004-0000-0200-00000A000000}"/>
    <hyperlink ref="M13" r:id="rId12" xr:uid="{00000000-0004-0000-0200-00000B000000}"/>
    <hyperlink ref="M14" r:id="rId13" xr:uid="{00000000-0004-0000-0200-00000C000000}"/>
    <hyperlink ref="M15" r:id="rId14" xr:uid="{00000000-0004-0000-0200-00000D000000}"/>
    <hyperlink ref="M16" r:id="rId15" xr:uid="{00000000-0004-0000-0200-00000E000000}"/>
    <hyperlink ref="M17" r:id="rId16" xr:uid="{00000000-0004-0000-0200-00000F000000}"/>
    <hyperlink ref="M18" r:id="rId17" xr:uid="{00000000-0004-0000-0200-000010000000}"/>
    <hyperlink ref="M19" r:id="rId18" xr:uid="{00000000-0004-0000-0200-000011000000}"/>
    <hyperlink ref="M20" r:id="rId19" xr:uid="{00000000-0004-0000-0200-000012000000}"/>
    <hyperlink ref="M21" r:id="rId20" xr:uid="{00000000-0004-0000-0200-000013000000}"/>
    <hyperlink ref="M22" r:id="rId21" xr:uid="{00000000-0004-0000-0200-000014000000}"/>
    <hyperlink ref="M23" r:id="rId22" xr:uid="{00000000-0004-0000-0200-000015000000}"/>
    <hyperlink ref="M24" r:id="rId23" xr:uid="{00000000-0004-0000-0200-000016000000}"/>
    <hyperlink ref="M25" r:id="rId24" xr:uid="{00000000-0004-0000-0200-000017000000}"/>
    <hyperlink ref="M26" r:id="rId25" xr:uid="{00000000-0004-0000-0200-000018000000}"/>
    <hyperlink ref="M27" r:id="rId26" xr:uid="{00000000-0004-0000-0200-000019000000}"/>
    <hyperlink ref="M28" r:id="rId27" xr:uid="{00000000-0004-0000-0200-00001A000000}"/>
    <hyperlink ref="M29" r:id="rId28" xr:uid="{00000000-0004-0000-0200-00001B000000}"/>
    <hyperlink ref="M30" r:id="rId29" xr:uid="{00000000-0004-0000-0200-00001C000000}"/>
    <hyperlink ref="M31" r:id="rId30" xr:uid="{00000000-0004-0000-0200-00001D000000}"/>
    <hyperlink ref="M32" r:id="rId31" xr:uid="{00000000-0004-0000-0200-00001E000000}"/>
    <hyperlink ref="M33" r:id="rId32" xr:uid="{00000000-0004-0000-0200-00001F000000}"/>
    <hyperlink ref="M34" r:id="rId33" xr:uid="{00000000-0004-0000-0200-000020000000}"/>
    <hyperlink ref="M35" r:id="rId34" xr:uid="{00000000-0004-0000-0200-000021000000}"/>
    <hyperlink ref="M36" r:id="rId35" xr:uid="{00000000-0004-0000-0200-000022000000}"/>
    <hyperlink ref="M37" r:id="rId36" xr:uid="{00000000-0004-0000-0200-000023000000}"/>
    <hyperlink ref="M38" r:id="rId37" xr:uid="{00000000-0004-0000-0200-000024000000}"/>
    <hyperlink ref="M39" r:id="rId38" xr:uid="{00000000-0004-0000-0200-000025000000}"/>
    <hyperlink ref="M40" r:id="rId39" xr:uid="{00000000-0004-0000-0200-000026000000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&amp;C&amp;"Arial,Обычный"&amp;A</oddHeader>
    <oddFooter>&amp;C&amp;"Arial,Обычный"Page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XFD122"/>
  <sheetViews>
    <sheetView topLeftCell="A76" zoomScaleNormal="100" workbookViewId="0">
      <selection activeCell="R12" sqref="R12"/>
    </sheetView>
  </sheetViews>
  <sheetFormatPr defaultColWidth="10.625" defaultRowHeight="15.95" customHeight="1" x14ac:dyDescent="0.25"/>
  <cols>
    <col min="1" max="1" width="17" style="1" customWidth="1"/>
    <col min="2" max="2" width="46.5" style="1" customWidth="1"/>
    <col min="3" max="5" width="5.625" style="9" hidden="1" customWidth="1"/>
    <col min="6" max="6" width="12.625" style="9" hidden="1" customWidth="1"/>
    <col min="7" max="7" width="5.625" style="9" hidden="1" customWidth="1"/>
    <col min="8" max="8" width="5.625" style="9" customWidth="1"/>
    <col min="9" max="9" width="12.625" style="1" hidden="1" customWidth="1"/>
    <col min="10" max="10" width="24.375" style="9" customWidth="1"/>
    <col min="11" max="11" width="12.625" style="1" hidden="1" customWidth="1"/>
    <col min="12" max="12" width="5.625" style="1" hidden="1" customWidth="1"/>
    <col min="13" max="16" width="12.625" style="9" hidden="1" customWidth="1"/>
    <col min="17" max="17" width="12.625" style="9" customWidth="1"/>
    <col min="18" max="18" width="81.75" style="6" customWidth="1"/>
    <col min="19" max="16357" width="10.625" style="2"/>
  </cols>
  <sheetData>
    <row r="1" spans="1:16384" customFormat="1" ht="15.95" customHeight="1" x14ac:dyDescent="0.25">
      <c r="A1" s="97" t="s">
        <v>143</v>
      </c>
      <c r="B1" s="97" t="s">
        <v>32</v>
      </c>
      <c r="C1" s="99" t="s">
        <v>496</v>
      </c>
      <c r="D1" s="100"/>
      <c r="E1" s="101"/>
      <c r="F1" s="97" t="s">
        <v>144</v>
      </c>
      <c r="G1" s="97" t="s">
        <v>145</v>
      </c>
      <c r="H1" s="97" t="s">
        <v>111</v>
      </c>
      <c r="I1" s="97" t="s">
        <v>146</v>
      </c>
      <c r="J1" s="97" t="s">
        <v>509</v>
      </c>
      <c r="K1" s="97" t="s">
        <v>6</v>
      </c>
      <c r="L1" s="97" t="s">
        <v>511</v>
      </c>
      <c r="M1" s="99" t="s">
        <v>497</v>
      </c>
      <c r="N1" s="100"/>
      <c r="O1" s="100"/>
      <c r="P1" s="101"/>
      <c r="Q1" s="97" t="s">
        <v>148</v>
      </c>
      <c r="R1" s="104" t="s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</row>
    <row r="2" spans="1:16384" s="10" customFormat="1" ht="15.95" customHeight="1" x14ac:dyDescent="0.25">
      <c r="A2" s="98"/>
      <c r="B2" s="98"/>
      <c r="C2" s="30" t="s">
        <v>3</v>
      </c>
      <c r="D2" s="30" t="s">
        <v>389</v>
      </c>
      <c r="E2" s="30" t="s">
        <v>390</v>
      </c>
      <c r="F2" s="98"/>
      <c r="G2" s="98"/>
      <c r="H2" s="98"/>
      <c r="I2" s="98"/>
      <c r="J2" s="98"/>
      <c r="K2" s="98"/>
      <c r="L2" s="98"/>
      <c r="M2" s="30" t="s">
        <v>456</v>
      </c>
      <c r="N2" s="30" t="s">
        <v>457</v>
      </c>
      <c r="O2" s="30" t="s">
        <v>458</v>
      </c>
      <c r="P2" s="30" t="s">
        <v>459</v>
      </c>
      <c r="Q2" s="98"/>
      <c r="R2" s="105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/>
      <c r="XFD2"/>
    </row>
    <row r="3" spans="1:16384" s="11" customFormat="1" ht="15.95" customHeight="1" x14ac:dyDescent="0.25">
      <c r="A3" s="19" t="s">
        <v>149</v>
      </c>
      <c r="B3" s="19" t="s">
        <v>150</v>
      </c>
      <c r="C3" s="33">
        <v>1</v>
      </c>
      <c r="D3" s="33">
        <v>1</v>
      </c>
      <c r="E3" s="33">
        <v>1</v>
      </c>
      <c r="F3" s="33">
        <v>67</v>
      </c>
      <c r="G3" s="33">
        <v>1</v>
      </c>
      <c r="H3" s="33" cm="1">
        <f t="array" ref="H3">G3*_xlfn.IFS(Настройки!$B$2="M",'Печатные изд.'!C3,Настройки!$B$2="L",'Печатные изд.'!D3,Настройки!$B$2="XL",'Печатные изд.'!E3)</f>
        <v>1</v>
      </c>
      <c r="I3" s="41">
        <f>F3*H3</f>
        <v>67</v>
      </c>
      <c r="J3" s="33" t="s">
        <v>510</v>
      </c>
      <c r="K3" s="41" cm="1">
        <f t="array" ref="K3">_xlfn.IFS(J3="Высоконагруженная",Настройки!$B$6,J3="Средне-нагруженная",Настройки!$B$7,J3="Ненагруженная",Настройки!$B$8,J3="Гибкая",Настройки!$B$9)</f>
        <v>1.21</v>
      </c>
      <c r="L3" s="41" cm="1">
        <f t="array" ref="L3">_xlfn.IFS(J3="Высоконагруженная",Настройки!$C$6,J3="Средне-нагруженная",Настройки!$C$7,J3="Ненагруженная",Настройки!$C$8,J3="Гибкая",Настройки!$C$9)/1000</f>
        <v>5</v>
      </c>
      <c r="M3" s="51">
        <f>IF(J3="Высоконагруженная",1,0)*G3*I3*K3</f>
        <v>81.069999999999993</v>
      </c>
      <c r="N3" s="51">
        <f>IF(J3="Средне-нагруженная",1,0)*G3*I3*K3</f>
        <v>0</v>
      </c>
      <c r="O3" s="51">
        <f>IF(J3="Ненагруженная",1,0)*G3*I3*K3</f>
        <v>0</v>
      </c>
      <c r="P3" s="51">
        <f>IF(J3="Гибкая",1,0)*G3*I3*K3</f>
        <v>0</v>
      </c>
      <c r="Q3" s="52">
        <f>SUM(M3:P3)*L3</f>
        <v>405.34999999999997</v>
      </c>
      <c r="R3" s="4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pans="1:16384" s="11" customFormat="1" ht="15.95" customHeight="1" x14ac:dyDescent="0.25">
      <c r="A4" s="19" t="s">
        <v>151</v>
      </c>
      <c r="B4" s="19" t="s">
        <v>150</v>
      </c>
      <c r="C4" s="33">
        <v>1</v>
      </c>
      <c r="D4" s="33">
        <v>1</v>
      </c>
      <c r="E4" s="33">
        <v>1</v>
      </c>
      <c r="F4" s="33">
        <v>67</v>
      </c>
      <c r="G4" s="33">
        <v>1</v>
      </c>
      <c r="H4" s="33" cm="1">
        <f t="array" ref="H4">G4*_xlfn.IFS(Настройки!$B$2="M",'Печатные изд.'!C4,Настройки!$B$2="L",'Печатные изд.'!D4,Настройки!$B$2="XL",'Печатные изд.'!E4)</f>
        <v>1</v>
      </c>
      <c r="I4" s="41">
        <f t="shared" ref="I4:I54" si="0">F4*H4</f>
        <v>67</v>
      </c>
      <c r="J4" s="33" t="s">
        <v>510</v>
      </c>
      <c r="K4" s="41" cm="1">
        <f t="array" ref="K4">_xlfn.IFS(J4="Высоконагруженная",Настройки!$B$6,J4="Средне-нагруженная",Настройки!$B$7,J4="Ненагруженная",Настройки!$B$8,J4="Гибкая",Настройки!$B$9)</f>
        <v>1.21</v>
      </c>
      <c r="L4" s="41" cm="1">
        <f t="array" ref="L4">_xlfn.IFS(J4="Высоконагруженная",Настройки!$C$6,J4="Средне-нагруженная",Настройки!$C$7,J4="Ненагруженная",Настройки!$C$8,J4="Гибкая",Настройки!$C$9)/1000</f>
        <v>5</v>
      </c>
      <c r="M4" s="51">
        <f t="shared" ref="M4:M67" si="1">IF(J4="Высоконагруженная",1,0)*G4*I4*K4</f>
        <v>81.069999999999993</v>
      </c>
      <c r="N4" s="51">
        <f t="shared" ref="N4:N67" si="2">IF(J4="Средне-нагруженная",1,0)*G4*I4*K4</f>
        <v>0</v>
      </c>
      <c r="O4" s="51">
        <f t="shared" ref="O4:O67" si="3">IF(J4="Ненагруженная",1,0)*G4*I4*K4</f>
        <v>0</v>
      </c>
      <c r="P4" s="51">
        <f t="shared" ref="P4:P67" si="4">IF(J4="Гибкая",1,0)*G4*I4*K4</f>
        <v>0</v>
      </c>
      <c r="Q4" s="52">
        <f t="shared" ref="Q4:Q54" si="5">SUM(M4:P4)*L4</f>
        <v>405.34999999999997</v>
      </c>
      <c r="R4" s="43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pans="1:16384" customFormat="1" ht="15.95" customHeight="1" x14ac:dyDescent="0.25">
      <c r="A5" s="19" t="s">
        <v>152</v>
      </c>
      <c r="B5" s="19" t="s">
        <v>153</v>
      </c>
      <c r="C5" s="33">
        <v>1</v>
      </c>
      <c r="D5" s="33">
        <v>1</v>
      </c>
      <c r="E5" s="33">
        <v>1</v>
      </c>
      <c r="F5" s="33">
        <v>11</v>
      </c>
      <c r="G5" s="33">
        <v>1</v>
      </c>
      <c r="H5" s="33" cm="1">
        <f t="array" ref="H5">G5*_xlfn.IFS(Настройки!$B$2="M",'Печатные изд.'!C5,Настройки!$B$2="L",'Печатные изд.'!D5,Настройки!$B$2="XL",'Печатные изд.'!E5)</f>
        <v>1</v>
      </c>
      <c r="I5" s="41">
        <f t="shared" si="0"/>
        <v>11</v>
      </c>
      <c r="J5" s="33" t="s">
        <v>510</v>
      </c>
      <c r="K5" s="41" cm="1">
        <f t="array" ref="K5">_xlfn.IFS(J5="Высоконагруженная",Настройки!$B$6,J5="Средне-нагруженная",Настройки!$B$7,J5="Ненагруженная",Настройки!$B$8,J5="Гибкая",Настройки!$B$9)</f>
        <v>1.21</v>
      </c>
      <c r="L5" s="41" cm="1">
        <f t="array" ref="L5">_xlfn.IFS(J5="Высоконагруженная",Настройки!$C$6,J5="Средне-нагруженная",Настройки!$C$7,J5="Ненагруженная",Настройки!$C$8,J5="Гибкая",Настройки!$C$9)/1000</f>
        <v>5</v>
      </c>
      <c r="M5" s="51">
        <f t="shared" si="1"/>
        <v>13.309999999999999</v>
      </c>
      <c r="N5" s="51">
        <f t="shared" si="2"/>
        <v>0</v>
      </c>
      <c r="O5" s="51">
        <f t="shared" si="3"/>
        <v>0</v>
      </c>
      <c r="P5" s="51">
        <f t="shared" si="4"/>
        <v>0</v>
      </c>
      <c r="Q5" s="52">
        <f t="shared" si="5"/>
        <v>66.55</v>
      </c>
      <c r="R5" s="4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</row>
    <row r="6" spans="1:16384" customFormat="1" ht="15.95" customHeight="1" x14ac:dyDescent="0.25">
      <c r="A6" s="19" t="s">
        <v>154</v>
      </c>
      <c r="B6" s="19" t="s">
        <v>153</v>
      </c>
      <c r="C6" s="33">
        <v>1</v>
      </c>
      <c r="D6" s="33">
        <v>1</v>
      </c>
      <c r="E6" s="33">
        <v>1</v>
      </c>
      <c r="F6" s="33">
        <v>11</v>
      </c>
      <c r="G6" s="33">
        <v>1</v>
      </c>
      <c r="H6" s="33" cm="1">
        <f t="array" ref="H6">G6*_xlfn.IFS(Настройки!$B$2="M",'Печатные изд.'!C6,Настройки!$B$2="L",'Печатные изд.'!D6,Настройки!$B$2="XL",'Печатные изд.'!E6)</f>
        <v>1</v>
      </c>
      <c r="I6" s="41">
        <f t="shared" si="0"/>
        <v>11</v>
      </c>
      <c r="J6" s="33" t="s">
        <v>510</v>
      </c>
      <c r="K6" s="41" cm="1">
        <f t="array" ref="K6">_xlfn.IFS(J6="Высоконагруженная",Настройки!$B$6,J6="Средне-нагруженная",Настройки!$B$7,J6="Ненагруженная",Настройки!$B$8,J6="Гибкая",Настройки!$B$9)</f>
        <v>1.21</v>
      </c>
      <c r="L6" s="41" cm="1">
        <f t="array" ref="L6">_xlfn.IFS(J6="Высоконагруженная",Настройки!$C$6,J6="Средне-нагруженная",Настройки!$C$7,J6="Ненагруженная",Настройки!$C$8,J6="Гибкая",Настройки!$C$9)/1000</f>
        <v>5</v>
      </c>
      <c r="M6" s="51">
        <f t="shared" si="1"/>
        <v>13.309999999999999</v>
      </c>
      <c r="N6" s="51">
        <f t="shared" si="2"/>
        <v>0</v>
      </c>
      <c r="O6" s="51">
        <f t="shared" si="3"/>
        <v>0</v>
      </c>
      <c r="P6" s="51">
        <f t="shared" si="4"/>
        <v>0</v>
      </c>
      <c r="Q6" s="52">
        <f t="shared" si="5"/>
        <v>66.55</v>
      </c>
      <c r="R6" s="4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</row>
    <row r="7" spans="1:16384" customFormat="1" ht="15.95" customHeight="1" x14ac:dyDescent="0.25">
      <c r="A7" s="19" t="s">
        <v>155</v>
      </c>
      <c r="B7" s="19" t="s">
        <v>156</v>
      </c>
      <c r="C7" s="33">
        <v>1</v>
      </c>
      <c r="D7" s="33">
        <v>1</v>
      </c>
      <c r="E7" s="33">
        <v>1</v>
      </c>
      <c r="F7" s="33">
        <v>7</v>
      </c>
      <c r="G7" s="33">
        <v>1</v>
      </c>
      <c r="H7" s="33" cm="1">
        <f t="array" ref="H7">G7*_xlfn.IFS(Настройки!$B$2="M",'Печатные изд.'!C7,Настройки!$B$2="L",'Печатные изд.'!D7,Настройки!$B$2="XL",'Печатные изд.'!E7)</f>
        <v>1</v>
      </c>
      <c r="I7" s="41">
        <f t="shared" si="0"/>
        <v>7</v>
      </c>
      <c r="J7" s="33" t="s">
        <v>510</v>
      </c>
      <c r="K7" s="41" cm="1">
        <f t="array" ref="K7">_xlfn.IFS(J7="Высоконагруженная",Настройки!$B$6,J7="Средне-нагруженная",Настройки!$B$7,J7="Ненагруженная",Настройки!$B$8,J7="Гибкая",Настройки!$B$9)</f>
        <v>1.21</v>
      </c>
      <c r="L7" s="41" cm="1">
        <f t="array" ref="L7">_xlfn.IFS(J7="Высоконагруженная",Настройки!$C$6,J7="Средне-нагруженная",Настройки!$C$7,J7="Ненагруженная",Настройки!$C$8,J7="Гибкая",Настройки!$C$9)/1000</f>
        <v>5</v>
      </c>
      <c r="M7" s="51">
        <f t="shared" si="1"/>
        <v>8.4699999999999989</v>
      </c>
      <c r="N7" s="51">
        <f t="shared" si="2"/>
        <v>0</v>
      </c>
      <c r="O7" s="51">
        <f t="shared" si="3"/>
        <v>0</v>
      </c>
      <c r="P7" s="51">
        <f t="shared" si="4"/>
        <v>0</v>
      </c>
      <c r="Q7" s="52">
        <f t="shared" si="5"/>
        <v>42.349999999999994</v>
      </c>
      <c r="R7" s="4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</row>
    <row r="8" spans="1:16384" customFormat="1" ht="15.95" customHeight="1" x14ac:dyDescent="0.25">
      <c r="A8" s="19" t="s">
        <v>157</v>
      </c>
      <c r="B8" s="19" t="s">
        <v>156</v>
      </c>
      <c r="C8" s="33">
        <v>1</v>
      </c>
      <c r="D8" s="33">
        <v>1</v>
      </c>
      <c r="E8" s="33">
        <v>1</v>
      </c>
      <c r="F8" s="33">
        <v>7</v>
      </c>
      <c r="G8" s="33">
        <v>1</v>
      </c>
      <c r="H8" s="33" cm="1">
        <f t="array" ref="H8">G8*_xlfn.IFS(Настройки!$B$2="M",'Печатные изд.'!C8,Настройки!$B$2="L",'Печатные изд.'!D8,Настройки!$B$2="XL",'Печатные изд.'!E8)</f>
        <v>1</v>
      </c>
      <c r="I8" s="41">
        <f t="shared" si="0"/>
        <v>7</v>
      </c>
      <c r="J8" s="33" t="s">
        <v>510</v>
      </c>
      <c r="K8" s="41" cm="1">
        <f t="array" ref="K8">_xlfn.IFS(J8="Высоконагруженная",Настройки!$B$6,J8="Средне-нагруженная",Настройки!$B$7,J8="Ненагруженная",Настройки!$B$8,J8="Гибкая",Настройки!$B$9)</f>
        <v>1.21</v>
      </c>
      <c r="L8" s="41" cm="1">
        <f t="array" ref="L8">_xlfn.IFS(J8="Высоконагруженная",Настройки!$C$6,J8="Средне-нагруженная",Настройки!$C$7,J8="Ненагруженная",Настройки!$C$8,J8="Гибкая",Настройки!$C$9)/1000</f>
        <v>5</v>
      </c>
      <c r="M8" s="51">
        <f t="shared" si="1"/>
        <v>8.4699999999999989</v>
      </c>
      <c r="N8" s="51">
        <f t="shared" si="2"/>
        <v>0</v>
      </c>
      <c r="O8" s="51">
        <f t="shared" si="3"/>
        <v>0</v>
      </c>
      <c r="P8" s="51">
        <f t="shared" si="4"/>
        <v>0</v>
      </c>
      <c r="Q8" s="52">
        <f t="shared" si="5"/>
        <v>42.349999999999994</v>
      </c>
      <c r="R8" s="4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</row>
    <row r="9" spans="1:16384" customFormat="1" ht="15.95" customHeight="1" x14ac:dyDescent="0.25">
      <c r="A9" s="19" t="s">
        <v>158</v>
      </c>
      <c r="B9" s="19" t="s">
        <v>159</v>
      </c>
      <c r="C9" s="33">
        <v>1</v>
      </c>
      <c r="D9" s="33">
        <v>1</v>
      </c>
      <c r="E9" s="33">
        <v>1</v>
      </c>
      <c r="F9" s="33">
        <v>4</v>
      </c>
      <c r="G9" s="33">
        <v>1</v>
      </c>
      <c r="H9" s="33" cm="1">
        <f t="array" ref="H9">G9*_xlfn.IFS(Настройки!$B$2="M",'Печатные изд.'!C9,Настройки!$B$2="L",'Печатные изд.'!D9,Настройки!$B$2="XL",'Печатные изд.'!E9)</f>
        <v>1</v>
      </c>
      <c r="I9" s="41">
        <f t="shared" si="0"/>
        <v>4</v>
      </c>
      <c r="J9" s="33" t="s">
        <v>510</v>
      </c>
      <c r="K9" s="41" cm="1">
        <f t="array" ref="K9">_xlfn.IFS(J9="Высоконагруженная",Настройки!$B$6,J9="Средне-нагруженная",Настройки!$B$7,J9="Ненагруженная",Настройки!$B$8,J9="Гибкая",Настройки!$B$9)</f>
        <v>1.21</v>
      </c>
      <c r="L9" s="41" cm="1">
        <f t="array" ref="L9">_xlfn.IFS(J9="Высоконагруженная",Настройки!$C$6,J9="Средне-нагруженная",Настройки!$C$7,J9="Ненагруженная",Настройки!$C$8,J9="Гибкая",Настройки!$C$9)/1000</f>
        <v>5</v>
      </c>
      <c r="M9" s="51">
        <f t="shared" si="1"/>
        <v>4.84</v>
      </c>
      <c r="N9" s="51">
        <f t="shared" si="2"/>
        <v>0</v>
      </c>
      <c r="O9" s="51">
        <f t="shared" si="3"/>
        <v>0</v>
      </c>
      <c r="P9" s="51">
        <f t="shared" si="4"/>
        <v>0</v>
      </c>
      <c r="Q9" s="52">
        <f t="shared" si="5"/>
        <v>24.2</v>
      </c>
      <c r="R9" s="43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</row>
    <row r="10" spans="1:16384" customFormat="1" ht="15.95" customHeight="1" x14ac:dyDescent="0.25">
      <c r="A10" s="19" t="s">
        <v>160</v>
      </c>
      <c r="B10" s="19" t="s">
        <v>159</v>
      </c>
      <c r="C10" s="33">
        <v>1</v>
      </c>
      <c r="D10" s="33">
        <v>1</v>
      </c>
      <c r="E10" s="33">
        <v>1</v>
      </c>
      <c r="F10" s="33">
        <v>4</v>
      </c>
      <c r="G10" s="33">
        <v>1</v>
      </c>
      <c r="H10" s="33" cm="1">
        <f t="array" ref="H10">G10*_xlfn.IFS(Настройки!$B$2="M",'Печатные изд.'!C10,Настройки!$B$2="L",'Печатные изд.'!D10,Настройки!$B$2="XL",'Печатные изд.'!E10)</f>
        <v>1</v>
      </c>
      <c r="I10" s="41">
        <f t="shared" si="0"/>
        <v>4</v>
      </c>
      <c r="J10" s="33" t="s">
        <v>510</v>
      </c>
      <c r="K10" s="41" cm="1">
        <f t="array" ref="K10">_xlfn.IFS(J10="Высоконагруженная",Настройки!$B$6,J10="Средне-нагруженная",Настройки!$B$7,J10="Ненагруженная",Настройки!$B$8,J10="Гибкая",Настройки!$B$9)</f>
        <v>1.21</v>
      </c>
      <c r="L10" s="41" cm="1">
        <f t="array" ref="L10">_xlfn.IFS(J10="Высоконагруженная",Настройки!$C$6,J10="Средне-нагруженная",Настройки!$C$7,J10="Ненагруженная",Настройки!$C$8,J10="Гибкая",Настройки!$C$9)/1000</f>
        <v>5</v>
      </c>
      <c r="M10" s="51">
        <f t="shared" si="1"/>
        <v>4.84</v>
      </c>
      <c r="N10" s="51">
        <f t="shared" si="2"/>
        <v>0</v>
      </c>
      <c r="O10" s="51">
        <f t="shared" si="3"/>
        <v>0</v>
      </c>
      <c r="P10" s="51">
        <f t="shared" si="4"/>
        <v>0</v>
      </c>
      <c r="Q10" s="52">
        <f t="shared" si="5"/>
        <v>24.2</v>
      </c>
      <c r="R10" s="43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</row>
    <row r="11" spans="1:16384" customFormat="1" ht="15.95" customHeight="1" x14ac:dyDescent="0.25">
      <c r="A11" s="19" t="s">
        <v>161</v>
      </c>
      <c r="B11" s="19" t="s">
        <v>162</v>
      </c>
      <c r="C11" s="33">
        <v>2</v>
      </c>
      <c r="D11" s="33">
        <v>2</v>
      </c>
      <c r="E11" s="33">
        <v>2</v>
      </c>
      <c r="F11" s="33">
        <v>21</v>
      </c>
      <c r="G11" s="33">
        <v>0</v>
      </c>
      <c r="H11" s="33" cm="1">
        <f t="array" ref="H11">G11*_xlfn.IFS(Настройки!$B$2="M",'Печатные изд.'!C11,Настройки!$B$2="L",'Печатные изд.'!D11,Настройки!$B$2="XL",'Печатные изд.'!E11)</f>
        <v>0</v>
      </c>
      <c r="I11" s="41">
        <f t="shared" si="0"/>
        <v>0</v>
      </c>
      <c r="J11" s="33" t="s">
        <v>510</v>
      </c>
      <c r="K11" s="41" cm="1">
        <f t="array" ref="K11">_xlfn.IFS(J11="Высоконагруженная",Настройки!$B$6,J11="Средне-нагруженная",Настройки!$B$7,J11="Ненагруженная",Настройки!$B$8,J11="Гибкая",Настройки!$B$9)</f>
        <v>1.21</v>
      </c>
      <c r="L11" s="41" cm="1">
        <f t="array" ref="L11">_xlfn.IFS(J11="Высоконагруженная",Настройки!$C$6,J11="Средне-нагруженная",Настройки!$C$7,J11="Ненагруженная",Настройки!$C$8,J11="Гибкая",Настройки!$C$9)/1000</f>
        <v>5</v>
      </c>
      <c r="M11" s="51">
        <f t="shared" si="1"/>
        <v>0</v>
      </c>
      <c r="N11" s="51">
        <f t="shared" si="2"/>
        <v>0</v>
      </c>
      <c r="O11" s="51">
        <f t="shared" si="3"/>
        <v>0</v>
      </c>
      <c r="P11" s="51">
        <f t="shared" si="4"/>
        <v>0</v>
      </c>
      <c r="Q11" s="52">
        <f t="shared" si="5"/>
        <v>0</v>
      </c>
      <c r="R11" s="43" t="s">
        <v>512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</row>
    <row r="12" spans="1:16384" customFormat="1" ht="15.95" customHeight="1" x14ac:dyDescent="0.25">
      <c r="A12" s="19" t="s">
        <v>163</v>
      </c>
      <c r="B12" s="19" t="s">
        <v>164</v>
      </c>
      <c r="C12" s="33">
        <v>2</v>
      </c>
      <c r="D12" s="33">
        <v>2</v>
      </c>
      <c r="E12" s="33">
        <v>2</v>
      </c>
      <c r="F12" s="33">
        <v>30</v>
      </c>
      <c r="G12" s="33">
        <f>1-G13</f>
        <v>1</v>
      </c>
      <c r="H12" s="33" cm="1">
        <f t="array" ref="H12">G12*_xlfn.IFS(Настройки!$B$2="M",'Печатные изд.'!C12,Настройки!$B$2="L",'Печатные изд.'!D12,Настройки!$B$2="XL",'Печатные изд.'!E12)</f>
        <v>2</v>
      </c>
      <c r="I12" s="41">
        <f t="shared" si="0"/>
        <v>60</v>
      </c>
      <c r="J12" s="33" t="s">
        <v>510</v>
      </c>
      <c r="K12" s="41" cm="1">
        <f t="array" ref="K12">_xlfn.IFS(J12="Высоконагруженная",Настройки!$B$6,J12="Средне-нагруженная",Настройки!$B$7,J12="Ненагруженная",Настройки!$B$8,J12="Гибкая",Настройки!$B$9)</f>
        <v>1.21</v>
      </c>
      <c r="L12" s="41" cm="1">
        <f t="array" ref="L12">_xlfn.IFS(J12="Высоконагруженная",Настройки!$C$6,J12="Средне-нагруженная",Настройки!$C$7,J12="Ненагруженная",Настройки!$C$8,J12="Гибкая",Настройки!$C$9)/1000</f>
        <v>5</v>
      </c>
      <c r="M12" s="51">
        <f t="shared" si="1"/>
        <v>72.599999999999994</v>
      </c>
      <c r="N12" s="51">
        <f t="shared" si="2"/>
        <v>0</v>
      </c>
      <c r="O12" s="51">
        <f t="shared" si="3"/>
        <v>0</v>
      </c>
      <c r="P12" s="51">
        <f t="shared" si="4"/>
        <v>0</v>
      </c>
      <c r="Q12" s="52">
        <f t="shared" si="5"/>
        <v>363</v>
      </c>
      <c r="R12" s="4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</row>
    <row r="13" spans="1:16384" customFormat="1" ht="15.95" customHeight="1" x14ac:dyDescent="0.25">
      <c r="A13" s="19" t="s">
        <v>498</v>
      </c>
      <c r="B13" s="19" t="s">
        <v>499</v>
      </c>
      <c r="C13" s="33">
        <v>2</v>
      </c>
      <c r="D13" s="33">
        <v>2</v>
      </c>
      <c r="E13" s="33">
        <v>2</v>
      </c>
      <c r="F13" s="33">
        <v>26</v>
      </c>
      <c r="G13" s="33">
        <f>IF(Настройки!$B$3="Goliath ALPS",1,0)</f>
        <v>0</v>
      </c>
      <c r="H13" s="33" cm="1">
        <f t="array" ref="H13">G13*_xlfn.IFS(Настройки!$B$2="M",'Печатные изд.'!C13,Настройки!$B$2="L",'Печатные изд.'!D13,Настройки!$B$2="XL",'Печатные изд.'!E13)</f>
        <v>0</v>
      </c>
      <c r="I13" s="41">
        <f t="shared" si="0"/>
        <v>0</v>
      </c>
      <c r="J13" s="33" t="s">
        <v>510</v>
      </c>
      <c r="K13" s="41" cm="1">
        <f t="array" ref="K13">_xlfn.IFS(J13="Высоконагруженная",Настройки!$B$6,J13="Средне-нагруженная",Настройки!$B$7,J13="Ненагруженная",Настройки!$B$8,J13="Гибкая",Настройки!$B$9)</f>
        <v>1.21</v>
      </c>
      <c r="L13" s="41" cm="1">
        <f t="array" ref="L13">_xlfn.IFS(J13="Высоконагруженная",Настройки!$C$6,J13="Средне-нагруженная",Настройки!$C$7,J13="Ненагруженная",Настройки!$C$8,J13="Гибкая",Настройки!$C$9)/1000</f>
        <v>5</v>
      </c>
      <c r="M13" s="51">
        <f t="shared" si="1"/>
        <v>0</v>
      </c>
      <c r="N13" s="51">
        <f t="shared" si="2"/>
        <v>0</v>
      </c>
      <c r="O13" s="51">
        <f t="shared" si="3"/>
        <v>0</v>
      </c>
      <c r="P13" s="51">
        <f t="shared" si="4"/>
        <v>0</v>
      </c>
      <c r="Q13" s="52">
        <f t="shared" si="5"/>
        <v>0</v>
      </c>
      <c r="R13" s="4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</row>
    <row r="14" spans="1:16384" customFormat="1" ht="15.95" customHeight="1" x14ac:dyDescent="0.25">
      <c r="A14" s="19" t="s">
        <v>165</v>
      </c>
      <c r="B14" s="19" t="s">
        <v>166</v>
      </c>
      <c r="C14" s="33">
        <v>1</v>
      </c>
      <c r="D14" s="33">
        <v>1</v>
      </c>
      <c r="E14" s="33">
        <v>1</v>
      </c>
      <c r="F14" s="33">
        <v>46</v>
      </c>
      <c r="G14" s="33">
        <v>1</v>
      </c>
      <c r="H14" s="33" cm="1">
        <f t="array" ref="H14">G14*_xlfn.IFS(Настройки!$B$2="M",'Печатные изд.'!C14,Настройки!$B$2="L",'Печатные изд.'!D14,Настройки!$B$2="XL",'Печатные изд.'!E14)</f>
        <v>1</v>
      </c>
      <c r="I14" s="41">
        <f t="shared" si="0"/>
        <v>46</v>
      </c>
      <c r="J14" s="33" t="s">
        <v>510</v>
      </c>
      <c r="K14" s="41" cm="1">
        <f t="array" ref="K14">_xlfn.IFS(J14="Высоконагруженная",Настройки!$B$6,J14="Средне-нагруженная",Настройки!$B$7,J14="Ненагруженная",Настройки!$B$8,J14="Гибкая",Настройки!$B$9)</f>
        <v>1.21</v>
      </c>
      <c r="L14" s="41" cm="1">
        <f t="array" ref="L14">_xlfn.IFS(J14="Высоконагруженная",Настройки!$C$6,J14="Средне-нагруженная",Настройки!$C$7,J14="Ненагруженная",Настройки!$C$8,J14="Гибкая",Настройки!$C$9)/1000</f>
        <v>5</v>
      </c>
      <c r="M14" s="51">
        <f t="shared" si="1"/>
        <v>55.66</v>
      </c>
      <c r="N14" s="51">
        <f t="shared" si="2"/>
        <v>0</v>
      </c>
      <c r="O14" s="51">
        <f t="shared" si="3"/>
        <v>0</v>
      </c>
      <c r="P14" s="51">
        <f t="shared" si="4"/>
        <v>0</v>
      </c>
      <c r="Q14" s="52">
        <f t="shared" si="5"/>
        <v>278.29999999999995</v>
      </c>
      <c r="R14" s="4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</row>
    <row r="15" spans="1:16384" customFormat="1" ht="15.95" customHeight="1" x14ac:dyDescent="0.25">
      <c r="A15" s="19" t="s">
        <v>167</v>
      </c>
      <c r="B15" s="19" t="s">
        <v>166</v>
      </c>
      <c r="C15" s="33">
        <v>1</v>
      </c>
      <c r="D15" s="33">
        <v>1</v>
      </c>
      <c r="E15" s="33">
        <v>1</v>
      </c>
      <c r="F15" s="33">
        <v>46</v>
      </c>
      <c r="G15" s="33">
        <v>1</v>
      </c>
      <c r="H15" s="33" cm="1">
        <f t="array" ref="H15">G15*_xlfn.IFS(Настройки!$B$2="M",'Печатные изд.'!C15,Настройки!$B$2="L",'Печатные изд.'!D15,Настройки!$B$2="XL",'Печатные изд.'!E15)</f>
        <v>1</v>
      </c>
      <c r="I15" s="41">
        <f t="shared" si="0"/>
        <v>46</v>
      </c>
      <c r="J15" s="33" t="s">
        <v>510</v>
      </c>
      <c r="K15" s="41" cm="1">
        <f t="array" ref="K15">_xlfn.IFS(J15="Высоконагруженная",Настройки!$B$6,J15="Средне-нагруженная",Настройки!$B$7,J15="Ненагруженная",Настройки!$B$8,J15="Гибкая",Настройки!$B$9)</f>
        <v>1.21</v>
      </c>
      <c r="L15" s="41" cm="1">
        <f t="array" ref="L15">_xlfn.IFS(J15="Высоконагруженная",Настройки!$C$6,J15="Средне-нагруженная",Настройки!$C$7,J15="Ненагруженная",Настройки!$C$8,J15="Гибкая",Настройки!$C$9)/1000</f>
        <v>5</v>
      </c>
      <c r="M15" s="51">
        <f t="shared" si="1"/>
        <v>55.66</v>
      </c>
      <c r="N15" s="51">
        <f t="shared" si="2"/>
        <v>0</v>
      </c>
      <c r="O15" s="51">
        <f t="shared" si="3"/>
        <v>0</v>
      </c>
      <c r="P15" s="51">
        <f t="shared" si="4"/>
        <v>0</v>
      </c>
      <c r="Q15" s="52">
        <f t="shared" si="5"/>
        <v>278.29999999999995</v>
      </c>
      <c r="R15" s="4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</row>
    <row r="16" spans="1:16384" customFormat="1" ht="15.95" customHeight="1" x14ac:dyDescent="0.25">
      <c r="A16" s="19" t="s">
        <v>168</v>
      </c>
      <c r="B16" s="19" t="s">
        <v>169</v>
      </c>
      <c r="C16" s="33">
        <v>2</v>
      </c>
      <c r="D16" s="33">
        <v>2</v>
      </c>
      <c r="E16" s="33">
        <v>2</v>
      </c>
      <c r="F16" s="33">
        <v>6</v>
      </c>
      <c r="G16" s="33">
        <v>1</v>
      </c>
      <c r="H16" s="33" cm="1">
        <f t="array" ref="H16">G16*_xlfn.IFS(Настройки!$B$2="M",'Печатные изд.'!C16,Настройки!$B$2="L",'Печатные изд.'!D16,Настройки!$B$2="XL",'Печатные изд.'!E16)</f>
        <v>2</v>
      </c>
      <c r="I16" s="41">
        <f t="shared" si="0"/>
        <v>12</v>
      </c>
      <c r="J16" s="33" t="s">
        <v>516</v>
      </c>
      <c r="K16" s="41" cm="1">
        <f t="array" ref="K16">_xlfn.IFS(J16="Высоконагруженная",Настройки!$B$6,J16="Средне-нагруженная",Настройки!$B$7,J16="Ненагруженная",Настройки!$B$8,J16="Гибкая",Настройки!$B$9)</f>
        <v>1.1499999999999999</v>
      </c>
      <c r="L16" s="41" cm="1">
        <f t="array" ref="L16">_xlfn.IFS(J16="Высоконагруженная",Настройки!$C$6,J16="Средне-нагруженная",Настройки!$C$7,J16="Ненагруженная",Настройки!$C$8,J16="Гибкая",Настройки!$C$9)/1000</f>
        <v>2</v>
      </c>
      <c r="M16" s="51">
        <f t="shared" si="1"/>
        <v>0</v>
      </c>
      <c r="N16" s="51">
        <f t="shared" si="2"/>
        <v>13.799999999999999</v>
      </c>
      <c r="O16" s="51">
        <f t="shared" si="3"/>
        <v>0</v>
      </c>
      <c r="P16" s="51">
        <f t="shared" si="4"/>
        <v>0</v>
      </c>
      <c r="Q16" s="52">
        <f t="shared" si="5"/>
        <v>27.599999999999998</v>
      </c>
      <c r="R16" s="4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</row>
    <row r="17" spans="1:18" ht="15.95" customHeight="1" x14ac:dyDescent="0.25">
      <c r="A17" s="19" t="s">
        <v>513</v>
      </c>
      <c r="B17" s="19" t="s">
        <v>170</v>
      </c>
      <c r="C17" s="33">
        <v>1</v>
      </c>
      <c r="D17" s="33">
        <v>1</v>
      </c>
      <c r="E17" s="33">
        <v>1</v>
      </c>
      <c r="F17" s="33">
        <v>53</v>
      </c>
      <c r="G17" s="33">
        <v>1</v>
      </c>
      <c r="H17" s="33" cm="1">
        <f t="array" ref="H17">G17*_xlfn.IFS(Настройки!$B$2="M",'Печатные изд.'!C17,Настройки!$B$2="L",'Печатные изд.'!D17,Настройки!$B$2="XL",'Печатные изд.'!E17)</f>
        <v>1</v>
      </c>
      <c r="I17" s="41">
        <f t="shared" si="0"/>
        <v>53</v>
      </c>
      <c r="J17" s="33" t="s">
        <v>516</v>
      </c>
      <c r="K17" s="41" cm="1">
        <f t="array" ref="K17">_xlfn.IFS(J17="Высоконагруженная",Настройки!$B$6,J17="Средне-нагруженная",Настройки!$B$7,J17="Ненагруженная",Настройки!$B$8,J17="Гибкая",Настройки!$B$9)</f>
        <v>1.1499999999999999</v>
      </c>
      <c r="L17" s="41" cm="1">
        <f t="array" ref="L17">_xlfn.IFS(J17="Высоконагруженная",Настройки!$C$6,J17="Средне-нагруженная",Настройки!$C$7,J17="Ненагруженная",Настройки!$C$8,J17="Гибкая",Настройки!$C$9)/1000</f>
        <v>2</v>
      </c>
      <c r="M17" s="51">
        <f t="shared" si="1"/>
        <v>0</v>
      </c>
      <c r="N17" s="51">
        <f t="shared" si="2"/>
        <v>60.949999999999996</v>
      </c>
      <c r="O17" s="51">
        <f t="shared" si="3"/>
        <v>0</v>
      </c>
      <c r="P17" s="51">
        <f t="shared" si="4"/>
        <v>0</v>
      </c>
      <c r="Q17" s="52">
        <f t="shared" si="5"/>
        <v>121.89999999999999</v>
      </c>
      <c r="R17" s="102" t="s">
        <v>515</v>
      </c>
    </row>
    <row r="18" spans="1:18" ht="15.95" customHeight="1" x14ac:dyDescent="0.25">
      <c r="A18" s="19" t="s">
        <v>514</v>
      </c>
      <c r="B18" s="19" t="s">
        <v>170</v>
      </c>
      <c r="C18" s="33">
        <v>1</v>
      </c>
      <c r="D18" s="33">
        <v>1</v>
      </c>
      <c r="E18" s="33">
        <v>1</v>
      </c>
      <c r="F18" s="33">
        <v>54</v>
      </c>
      <c r="G18" s="33">
        <v>1</v>
      </c>
      <c r="H18" s="33" cm="1">
        <f t="array" ref="H18">G18*_xlfn.IFS(Настройки!$B$2="M",'Печатные изд.'!C18,Настройки!$B$2="L",'Печатные изд.'!D18,Настройки!$B$2="XL",'Печатные изд.'!E18)</f>
        <v>1</v>
      </c>
      <c r="I18" s="41">
        <f t="shared" si="0"/>
        <v>54</v>
      </c>
      <c r="J18" s="33" t="s">
        <v>516</v>
      </c>
      <c r="K18" s="41" cm="1">
        <f t="array" ref="K18">_xlfn.IFS(J18="Высоконагруженная",Настройки!$B$6,J18="Средне-нагруженная",Настройки!$B$7,J18="Ненагруженная",Настройки!$B$8,J18="Гибкая",Настройки!$B$9)</f>
        <v>1.1499999999999999</v>
      </c>
      <c r="L18" s="41" cm="1">
        <f t="array" ref="L18">_xlfn.IFS(J18="Высоконагруженная",Настройки!$C$6,J18="Средне-нагруженная",Настройки!$C$7,J18="Ненагруженная",Настройки!$C$8,J18="Гибкая",Настройки!$C$9)/1000</f>
        <v>2</v>
      </c>
      <c r="M18" s="51">
        <f t="shared" si="1"/>
        <v>0</v>
      </c>
      <c r="N18" s="51">
        <f t="shared" si="2"/>
        <v>62.099999999999994</v>
      </c>
      <c r="O18" s="51">
        <f t="shared" si="3"/>
        <v>0</v>
      </c>
      <c r="P18" s="51">
        <f t="shared" si="4"/>
        <v>0</v>
      </c>
      <c r="Q18" s="52">
        <f t="shared" si="5"/>
        <v>124.19999999999999</v>
      </c>
      <c r="R18" s="103"/>
    </row>
    <row r="19" spans="1:18" ht="15.95" customHeight="1" x14ac:dyDescent="0.25">
      <c r="A19" s="19" t="s">
        <v>171</v>
      </c>
      <c r="B19" s="19" t="s">
        <v>172</v>
      </c>
      <c r="C19" s="33">
        <v>1</v>
      </c>
      <c r="D19" s="33">
        <v>1</v>
      </c>
      <c r="E19" s="33">
        <v>1</v>
      </c>
      <c r="F19" s="33">
        <v>12</v>
      </c>
      <c r="G19" s="33">
        <v>1</v>
      </c>
      <c r="H19" s="33" cm="1">
        <f t="array" ref="H19">G19*_xlfn.IFS(Настройки!$B$2="M",'Печатные изд.'!C19,Настройки!$B$2="L",'Печатные изд.'!D19,Настройки!$B$2="XL",'Печатные изд.'!E19)</f>
        <v>1</v>
      </c>
      <c r="I19" s="41">
        <f t="shared" si="0"/>
        <v>12</v>
      </c>
      <c r="J19" s="33" t="s">
        <v>516</v>
      </c>
      <c r="K19" s="41" cm="1">
        <f t="array" ref="K19">_xlfn.IFS(J19="Высоконагруженная",Настройки!$B$6,J19="Средне-нагруженная",Настройки!$B$7,J19="Ненагруженная",Настройки!$B$8,J19="Гибкая",Настройки!$B$9)</f>
        <v>1.1499999999999999</v>
      </c>
      <c r="L19" s="41" cm="1">
        <f t="array" ref="L19">_xlfn.IFS(J19="Высоконагруженная",Настройки!$C$6,J19="Средне-нагруженная",Настройки!$C$7,J19="Ненагруженная",Настройки!$C$8,J19="Гибкая",Настройки!$C$9)/1000</f>
        <v>2</v>
      </c>
      <c r="M19" s="51">
        <f t="shared" si="1"/>
        <v>0</v>
      </c>
      <c r="N19" s="51">
        <f t="shared" si="2"/>
        <v>13.799999999999999</v>
      </c>
      <c r="O19" s="51">
        <f t="shared" si="3"/>
        <v>0</v>
      </c>
      <c r="P19" s="51">
        <f t="shared" si="4"/>
        <v>0</v>
      </c>
      <c r="Q19" s="52">
        <f t="shared" si="5"/>
        <v>27.599999999999998</v>
      </c>
      <c r="R19" s="43"/>
    </row>
    <row r="20" spans="1:18" ht="15.95" customHeight="1" x14ac:dyDescent="0.25">
      <c r="A20" s="19" t="s">
        <v>173</v>
      </c>
      <c r="B20" s="19" t="s">
        <v>172</v>
      </c>
      <c r="C20" s="33">
        <v>1</v>
      </c>
      <c r="D20" s="33">
        <v>1</v>
      </c>
      <c r="E20" s="33">
        <v>1</v>
      </c>
      <c r="F20" s="33">
        <v>12</v>
      </c>
      <c r="G20" s="33">
        <v>1</v>
      </c>
      <c r="H20" s="33" cm="1">
        <f t="array" ref="H20">G20*_xlfn.IFS(Настройки!$B$2="M",'Печатные изд.'!C20,Настройки!$B$2="L",'Печатные изд.'!D20,Настройки!$B$2="XL",'Печатные изд.'!E20)</f>
        <v>1</v>
      </c>
      <c r="I20" s="41">
        <f t="shared" si="0"/>
        <v>12</v>
      </c>
      <c r="J20" s="33" t="s">
        <v>516</v>
      </c>
      <c r="K20" s="41" cm="1">
        <f t="array" ref="K20">_xlfn.IFS(J20="Высоконагруженная",Настройки!$B$6,J20="Средне-нагруженная",Настройки!$B$7,J20="Ненагруженная",Настройки!$B$8,J20="Гибкая",Настройки!$B$9)</f>
        <v>1.1499999999999999</v>
      </c>
      <c r="L20" s="41" cm="1">
        <f t="array" ref="L20">_xlfn.IFS(J20="Высоконагруженная",Настройки!$C$6,J20="Средне-нагруженная",Настройки!$C$7,J20="Ненагруженная",Настройки!$C$8,J20="Гибкая",Настройки!$C$9)/1000</f>
        <v>2</v>
      </c>
      <c r="M20" s="51">
        <f t="shared" si="1"/>
        <v>0</v>
      </c>
      <c r="N20" s="51">
        <f t="shared" si="2"/>
        <v>13.799999999999999</v>
      </c>
      <c r="O20" s="51">
        <f t="shared" si="3"/>
        <v>0</v>
      </c>
      <c r="P20" s="51">
        <f t="shared" si="4"/>
        <v>0</v>
      </c>
      <c r="Q20" s="52">
        <f t="shared" si="5"/>
        <v>27.599999999999998</v>
      </c>
      <c r="R20" s="43"/>
    </row>
    <row r="21" spans="1:18" ht="15.95" customHeight="1" x14ac:dyDescent="0.25">
      <c r="A21" s="19" t="s">
        <v>174</v>
      </c>
      <c r="B21" s="19" t="s">
        <v>175</v>
      </c>
      <c r="C21" s="33">
        <v>1</v>
      </c>
      <c r="D21" s="33">
        <v>1</v>
      </c>
      <c r="E21" s="33">
        <v>1</v>
      </c>
      <c r="F21" s="33">
        <v>253</v>
      </c>
      <c r="G21" s="33">
        <v>1</v>
      </c>
      <c r="H21" s="33" cm="1">
        <f t="array" ref="H21">G21*_xlfn.IFS(Настройки!$B$2="M",'Печатные изд.'!C21,Настройки!$B$2="L",'Печатные изд.'!D21,Настройки!$B$2="XL",'Печатные изд.'!E21)</f>
        <v>1</v>
      </c>
      <c r="I21" s="41">
        <f t="shared" si="0"/>
        <v>253</v>
      </c>
      <c r="J21" s="33" t="s">
        <v>516</v>
      </c>
      <c r="K21" s="41" cm="1">
        <f t="array" ref="K21">_xlfn.IFS(J21="Высоконагруженная",Настройки!$B$6,J21="Средне-нагруженная",Настройки!$B$7,J21="Ненагруженная",Настройки!$B$8,J21="Гибкая",Настройки!$B$9)</f>
        <v>1.1499999999999999</v>
      </c>
      <c r="L21" s="41" cm="1">
        <f t="array" ref="L21">_xlfn.IFS(J21="Высоконагруженная",Настройки!$C$6,J21="Средне-нагруженная",Настройки!$C$7,J21="Ненагруженная",Настройки!$C$8,J21="Гибкая",Настройки!$C$9)/1000</f>
        <v>2</v>
      </c>
      <c r="M21" s="51">
        <f t="shared" si="1"/>
        <v>0</v>
      </c>
      <c r="N21" s="51">
        <f t="shared" si="2"/>
        <v>290.95</v>
      </c>
      <c r="O21" s="51">
        <f t="shared" si="3"/>
        <v>0</v>
      </c>
      <c r="P21" s="51">
        <f t="shared" si="4"/>
        <v>0</v>
      </c>
      <c r="Q21" s="52">
        <f t="shared" si="5"/>
        <v>581.9</v>
      </c>
      <c r="R21" s="43"/>
    </row>
    <row r="22" spans="1:18" ht="15.95" customHeight="1" x14ac:dyDescent="0.25">
      <c r="A22" s="19" t="s">
        <v>176</v>
      </c>
      <c r="B22" s="19" t="s">
        <v>518</v>
      </c>
      <c r="C22" s="33">
        <v>1</v>
      </c>
      <c r="D22" s="33">
        <v>1</v>
      </c>
      <c r="E22" s="33">
        <v>1</v>
      </c>
      <c r="F22" s="33">
        <v>4</v>
      </c>
      <c r="G22" s="33">
        <v>1</v>
      </c>
      <c r="H22" s="33" cm="1">
        <f t="array" ref="H22">G22*_xlfn.IFS(Настройки!$B$2="M",'Печатные изд.'!C22,Настройки!$B$2="L",'Печатные изд.'!D22,Настройки!$B$2="XL",'Печатные изд.'!E22)</f>
        <v>1</v>
      </c>
      <c r="I22" s="41">
        <f t="shared" si="0"/>
        <v>4</v>
      </c>
      <c r="J22" s="33" t="s">
        <v>516</v>
      </c>
      <c r="K22" s="41" cm="1">
        <f t="array" ref="K22">_xlfn.IFS(J22="Высоконагруженная",Настройки!$B$6,J22="Средне-нагруженная",Настройки!$B$7,J22="Ненагруженная",Настройки!$B$8,J22="Гибкая",Настройки!$B$9)</f>
        <v>1.1499999999999999</v>
      </c>
      <c r="L22" s="41" cm="1">
        <f t="array" ref="L22">_xlfn.IFS(J22="Высоконагруженная",Настройки!$C$6,J22="Средне-нагруженная",Настройки!$C$7,J22="Ненагруженная",Настройки!$C$8,J22="Гибкая",Настройки!$C$9)/1000</f>
        <v>2</v>
      </c>
      <c r="M22" s="51">
        <f t="shared" si="1"/>
        <v>0</v>
      </c>
      <c r="N22" s="51">
        <f t="shared" si="2"/>
        <v>4.5999999999999996</v>
      </c>
      <c r="O22" s="51">
        <f t="shared" si="3"/>
        <v>0</v>
      </c>
      <c r="P22" s="51">
        <f t="shared" si="4"/>
        <v>0</v>
      </c>
      <c r="Q22" s="52">
        <f t="shared" si="5"/>
        <v>9.1999999999999993</v>
      </c>
      <c r="R22" s="43" t="s">
        <v>522</v>
      </c>
    </row>
    <row r="23" spans="1:18" ht="15.95" customHeight="1" x14ac:dyDescent="0.25">
      <c r="A23" s="19" t="s">
        <v>177</v>
      </c>
      <c r="B23" s="19" t="s">
        <v>178</v>
      </c>
      <c r="C23" s="33">
        <v>1</v>
      </c>
      <c r="D23" s="33">
        <v>1</v>
      </c>
      <c r="E23" s="33">
        <v>1</v>
      </c>
      <c r="F23" s="33">
        <v>254</v>
      </c>
      <c r="G23" s="33">
        <v>1</v>
      </c>
      <c r="H23" s="33" cm="1">
        <f t="array" ref="H23">G23*_xlfn.IFS(Настройки!$B$2="M",'Печатные изд.'!C23,Настройки!$B$2="L",'Печатные изд.'!D23,Настройки!$B$2="XL",'Печатные изд.'!E23)</f>
        <v>1</v>
      </c>
      <c r="I23" s="41">
        <f t="shared" si="0"/>
        <v>254</v>
      </c>
      <c r="J23" s="33" t="s">
        <v>516</v>
      </c>
      <c r="K23" s="41" cm="1">
        <f t="array" ref="K23">_xlfn.IFS(J23="Высоконагруженная",Настройки!$B$6,J23="Средне-нагруженная",Настройки!$B$7,J23="Ненагруженная",Настройки!$B$8,J23="Гибкая",Настройки!$B$9)</f>
        <v>1.1499999999999999</v>
      </c>
      <c r="L23" s="41" cm="1">
        <f t="array" ref="L23">_xlfn.IFS(J23="Высоконагруженная",Настройки!$C$6,J23="Средне-нагруженная",Настройки!$C$7,J23="Ненагруженная",Настройки!$C$8,J23="Гибкая",Настройки!$C$9)/1000</f>
        <v>2</v>
      </c>
      <c r="M23" s="51">
        <f t="shared" si="1"/>
        <v>0</v>
      </c>
      <c r="N23" s="51">
        <f t="shared" si="2"/>
        <v>292.09999999999997</v>
      </c>
      <c r="O23" s="51">
        <f t="shared" si="3"/>
        <v>0</v>
      </c>
      <c r="P23" s="51">
        <f t="shared" si="4"/>
        <v>0</v>
      </c>
      <c r="Q23" s="52">
        <f t="shared" si="5"/>
        <v>584.19999999999993</v>
      </c>
      <c r="R23" s="43"/>
    </row>
    <row r="24" spans="1:18" ht="15.95" customHeight="1" x14ac:dyDescent="0.25">
      <c r="A24" s="19" t="s">
        <v>179</v>
      </c>
      <c r="B24" s="19" t="s">
        <v>180</v>
      </c>
      <c r="C24" s="33">
        <v>1</v>
      </c>
      <c r="D24" s="33">
        <v>1</v>
      </c>
      <c r="E24" s="33">
        <v>1</v>
      </c>
      <c r="F24" s="33">
        <v>105</v>
      </c>
      <c r="G24" s="33">
        <v>1</v>
      </c>
      <c r="H24" s="33" cm="1">
        <f t="array" ref="H24">G24*_xlfn.IFS(Настройки!$B$2="M",'Печатные изд.'!C24,Настройки!$B$2="L",'Печатные изд.'!D24,Настройки!$B$2="XL",'Печатные изд.'!E24)</f>
        <v>1</v>
      </c>
      <c r="I24" s="41">
        <f t="shared" si="0"/>
        <v>105</v>
      </c>
      <c r="J24" s="33" t="s">
        <v>516</v>
      </c>
      <c r="K24" s="41" cm="1">
        <f t="array" ref="K24">_xlfn.IFS(J24="Высоконагруженная",Настройки!$B$6,J24="Средне-нагруженная",Настройки!$B$7,J24="Ненагруженная",Настройки!$B$8,J24="Гибкая",Настройки!$B$9)</f>
        <v>1.1499999999999999</v>
      </c>
      <c r="L24" s="41" cm="1">
        <f t="array" ref="L24">_xlfn.IFS(J24="Высоконагруженная",Настройки!$C$6,J24="Средне-нагруженная",Настройки!$C$7,J24="Ненагруженная",Настройки!$C$8,J24="Гибкая",Настройки!$C$9)/1000</f>
        <v>2</v>
      </c>
      <c r="M24" s="51">
        <f t="shared" si="1"/>
        <v>0</v>
      </c>
      <c r="N24" s="51">
        <f t="shared" si="2"/>
        <v>120.74999999999999</v>
      </c>
      <c r="O24" s="51">
        <f t="shared" si="3"/>
        <v>0</v>
      </c>
      <c r="P24" s="51">
        <f t="shared" si="4"/>
        <v>0</v>
      </c>
      <c r="Q24" s="52">
        <f t="shared" si="5"/>
        <v>241.49999999999997</v>
      </c>
      <c r="R24" s="43"/>
    </row>
    <row r="25" spans="1:18" ht="15.95" customHeight="1" x14ac:dyDescent="0.25">
      <c r="A25" s="19" t="s">
        <v>181</v>
      </c>
      <c r="B25" s="19" t="s">
        <v>519</v>
      </c>
      <c r="C25" s="33">
        <v>2</v>
      </c>
      <c r="D25" s="33">
        <v>2</v>
      </c>
      <c r="E25" s="33">
        <v>2</v>
      </c>
      <c r="F25" s="33">
        <v>11</v>
      </c>
      <c r="G25" s="33">
        <v>1</v>
      </c>
      <c r="H25" s="33" cm="1">
        <f t="array" ref="H25">G25*_xlfn.IFS(Настройки!$B$2="M",'Печатные изд.'!C25,Настройки!$B$2="L",'Печатные изд.'!D25,Настройки!$B$2="XL",'Печатные изд.'!E25)</f>
        <v>2</v>
      </c>
      <c r="I25" s="41">
        <f t="shared" si="0"/>
        <v>22</v>
      </c>
      <c r="J25" s="33" t="s">
        <v>516</v>
      </c>
      <c r="K25" s="41" cm="1">
        <f t="array" ref="K25">_xlfn.IFS(J25="Высоконагруженная",Настройки!$B$6,J25="Средне-нагруженная",Настройки!$B$7,J25="Ненагруженная",Настройки!$B$8,J25="Гибкая",Настройки!$B$9)</f>
        <v>1.1499999999999999</v>
      </c>
      <c r="L25" s="41" cm="1">
        <f t="array" ref="L25">_xlfn.IFS(J25="Высоконагруженная",Настройки!$C$6,J25="Средне-нагруженная",Настройки!$C$7,J25="Ненагруженная",Настройки!$C$8,J25="Гибкая",Настройки!$C$9)/1000</f>
        <v>2</v>
      </c>
      <c r="M25" s="51">
        <f t="shared" si="1"/>
        <v>0</v>
      </c>
      <c r="N25" s="51">
        <f t="shared" si="2"/>
        <v>25.299999999999997</v>
      </c>
      <c r="O25" s="51">
        <f t="shared" si="3"/>
        <v>0</v>
      </c>
      <c r="P25" s="51">
        <f t="shared" si="4"/>
        <v>0</v>
      </c>
      <c r="Q25" s="52">
        <f t="shared" si="5"/>
        <v>50.599999999999994</v>
      </c>
      <c r="R25" s="102" t="s">
        <v>521</v>
      </c>
    </row>
    <row r="26" spans="1:18" ht="15.95" customHeight="1" x14ac:dyDescent="0.25">
      <c r="A26" s="19" t="s">
        <v>182</v>
      </c>
      <c r="B26" s="19" t="s">
        <v>520</v>
      </c>
      <c r="C26" s="33">
        <v>2</v>
      </c>
      <c r="D26" s="33">
        <v>2</v>
      </c>
      <c r="E26" s="33">
        <v>2</v>
      </c>
      <c r="F26" s="33">
        <v>8</v>
      </c>
      <c r="G26" s="33">
        <v>1</v>
      </c>
      <c r="H26" s="33" cm="1">
        <f t="array" ref="H26">G26*_xlfn.IFS(Настройки!$B$2="M",'Печатные изд.'!C26,Настройки!$B$2="L",'Печатные изд.'!D26,Настройки!$B$2="XL",'Печатные изд.'!E26)</f>
        <v>2</v>
      </c>
      <c r="I26" s="41">
        <f t="shared" si="0"/>
        <v>16</v>
      </c>
      <c r="J26" s="33" t="s">
        <v>516</v>
      </c>
      <c r="K26" s="41" cm="1">
        <f t="array" ref="K26">_xlfn.IFS(J26="Высоконагруженная",Настройки!$B$6,J26="Средне-нагруженная",Настройки!$B$7,J26="Ненагруженная",Настройки!$B$8,J26="Гибкая",Настройки!$B$9)</f>
        <v>1.1499999999999999</v>
      </c>
      <c r="L26" s="41" cm="1">
        <f t="array" ref="L26">_xlfn.IFS(J26="Высоконагруженная",Настройки!$C$6,J26="Средне-нагруженная",Настройки!$C$7,J26="Ненагруженная",Настройки!$C$8,J26="Гибкая",Настройки!$C$9)/1000</f>
        <v>2</v>
      </c>
      <c r="M26" s="51">
        <f t="shared" si="1"/>
        <v>0</v>
      </c>
      <c r="N26" s="51">
        <f t="shared" si="2"/>
        <v>18.399999999999999</v>
      </c>
      <c r="O26" s="51">
        <f t="shared" si="3"/>
        <v>0</v>
      </c>
      <c r="P26" s="51">
        <f t="shared" si="4"/>
        <v>0</v>
      </c>
      <c r="Q26" s="52">
        <f t="shared" si="5"/>
        <v>36.799999999999997</v>
      </c>
      <c r="R26" s="103"/>
    </row>
    <row r="27" spans="1:18" ht="15.95" customHeight="1" x14ac:dyDescent="0.25">
      <c r="A27" s="19" t="s">
        <v>183</v>
      </c>
      <c r="B27" s="19" t="s">
        <v>524</v>
      </c>
      <c r="C27" s="33">
        <v>2</v>
      </c>
      <c r="D27" s="33">
        <v>2</v>
      </c>
      <c r="E27" s="33">
        <v>2</v>
      </c>
      <c r="F27" s="33">
        <v>3</v>
      </c>
      <c r="G27" s="33">
        <v>1</v>
      </c>
      <c r="H27" s="33" cm="1">
        <f t="array" ref="H27">G27*_xlfn.IFS(Настройки!$B$2="M",'Печатные изд.'!C27,Настройки!$B$2="L",'Печатные изд.'!D27,Настройки!$B$2="XL",'Печатные изд.'!E27)</f>
        <v>2</v>
      </c>
      <c r="I27" s="41">
        <f t="shared" si="0"/>
        <v>6</v>
      </c>
      <c r="J27" s="33" t="s">
        <v>516</v>
      </c>
      <c r="K27" s="41" cm="1">
        <f t="array" ref="K27">_xlfn.IFS(J27="Высоконагруженная",Настройки!$B$6,J27="Средне-нагруженная",Настройки!$B$7,J27="Ненагруженная",Настройки!$B$8,J27="Гибкая",Настройки!$B$9)</f>
        <v>1.1499999999999999</v>
      </c>
      <c r="L27" s="41" cm="1">
        <f t="array" ref="L27">_xlfn.IFS(J27="Высоконагруженная",Настройки!$C$6,J27="Средне-нагруженная",Настройки!$C$7,J27="Ненагруженная",Настройки!$C$8,J27="Гибкая",Настройки!$C$9)/1000</f>
        <v>2</v>
      </c>
      <c r="M27" s="51">
        <f t="shared" si="1"/>
        <v>0</v>
      </c>
      <c r="N27" s="51">
        <f t="shared" si="2"/>
        <v>6.8999999999999995</v>
      </c>
      <c r="O27" s="51">
        <f t="shared" si="3"/>
        <v>0</v>
      </c>
      <c r="P27" s="51">
        <f t="shared" si="4"/>
        <v>0</v>
      </c>
      <c r="Q27" s="52">
        <f t="shared" si="5"/>
        <v>13.799999999999999</v>
      </c>
      <c r="R27" s="43" t="s">
        <v>522</v>
      </c>
    </row>
    <row r="28" spans="1:18" ht="15.95" customHeight="1" x14ac:dyDescent="0.25">
      <c r="A28" s="19" t="s">
        <v>184</v>
      </c>
      <c r="B28" s="19" t="s">
        <v>523</v>
      </c>
      <c r="C28" s="33">
        <v>1</v>
      </c>
      <c r="D28" s="33">
        <v>1</v>
      </c>
      <c r="E28" s="33">
        <v>1</v>
      </c>
      <c r="F28" s="33">
        <v>5</v>
      </c>
      <c r="G28" s="33">
        <v>1</v>
      </c>
      <c r="H28" s="33" cm="1">
        <f t="array" ref="H28">G28*_xlfn.IFS(Настройки!$B$2="M",'Печатные изд.'!C28,Настройки!$B$2="L",'Печатные изд.'!D28,Настройки!$B$2="XL",'Печатные изд.'!E28)</f>
        <v>1</v>
      </c>
      <c r="I28" s="41">
        <f t="shared" si="0"/>
        <v>5</v>
      </c>
      <c r="J28" s="33" t="s">
        <v>516</v>
      </c>
      <c r="K28" s="41" cm="1">
        <f t="array" ref="K28">_xlfn.IFS(J28="Высоконагруженная",Настройки!$B$6,J28="Средне-нагруженная",Настройки!$B$7,J28="Ненагруженная",Настройки!$B$8,J28="Гибкая",Настройки!$B$9)</f>
        <v>1.1499999999999999</v>
      </c>
      <c r="L28" s="41" cm="1">
        <f t="array" ref="L28">_xlfn.IFS(J28="Высоконагруженная",Настройки!$C$6,J28="Средне-нагруженная",Настройки!$C$7,J28="Ненагруженная",Настройки!$C$8,J28="Гибкая",Настройки!$C$9)/1000</f>
        <v>2</v>
      </c>
      <c r="M28" s="51">
        <f t="shared" si="1"/>
        <v>0</v>
      </c>
      <c r="N28" s="51">
        <f t="shared" si="2"/>
        <v>5.75</v>
      </c>
      <c r="O28" s="51">
        <f t="shared" si="3"/>
        <v>0</v>
      </c>
      <c r="P28" s="51">
        <f t="shared" si="4"/>
        <v>0</v>
      </c>
      <c r="Q28" s="52">
        <f t="shared" si="5"/>
        <v>11.5</v>
      </c>
      <c r="R28" s="43" t="s">
        <v>522</v>
      </c>
    </row>
    <row r="29" spans="1:18" ht="15.95" customHeight="1" x14ac:dyDescent="0.25">
      <c r="A29" s="19" t="s">
        <v>185</v>
      </c>
      <c r="B29" s="19" t="s">
        <v>186</v>
      </c>
      <c r="C29" s="33">
        <v>1</v>
      </c>
      <c r="D29" s="33">
        <v>1</v>
      </c>
      <c r="E29" s="33">
        <v>1</v>
      </c>
      <c r="F29" s="33">
        <v>1</v>
      </c>
      <c r="G29" s="33">
        <v>1</v>
      </c>
      <c r="H29" s="33" cm="1">
        <f t="array" ref="H29">G29*_xlfn.IFS(Настройки!$B$2="M",'Печатные изд.'!C29,Настройки!$B$2="L",'Печатные изд.'!D29,Настройки!$B$2="XL",'Печатные изд.'!E29)</f>
        <v>1</v>
      </c>
      <c r="I29" s="41">
        <f t="shared" si="0"/>
        <v>1</v>
      </c>
      <c r="J29" s="33" t="s">
        <v>517</v>
      </c>
      <c r="K29" s="41" cm="1">
        <f t="array" ref="K29">_xlfn.IFS(J29="Высоконагруженная",Настройки!$B$6,J29="Средне-нагруженная",Настройки!$B$7,J29="Ненагруженная",Настройки!$B$8,J29="Гибкая",Настройки!$B$9)</f>
        <v>1.05</v>
      </c>
      <c r="L29" s="41" cm="1">
        <f t="array" ref="L29">_xlfn.IFS(J29="Высоконагруженная",Настройки!$C$6,J29="Средне-нагруженная",Настройки!$C$7,J29="Ненагруженная",Настройки!$C$8,J29="Гибкая",Настройки!$C$9)/1000</f>
        <v>1</v>
      </c>
      <c r="M29" s="51">
        <f t="shared" si="1"/>
        <v>0</v>
      </c>
      <c r="N29" s="51">
        <f t="shared" si="2"/>
        <v>0</v>
      </c>
      <c r="O29" s="51">
        <f t="shared" si="3"/>
        <v>1.05</v>
      </c>
      <c r="P29" s="51">
        <f t="shared" si="4"/>
        <v>0</v>
      </c>
      <c r="Q29" s="52">
        <f t="shared" si="5"/>
        <v>1.05</v>
      </c>
      <c r="R29" s="43"/>
    </row>
    <row r="30" spans="1:18" ht="15.95" customHeight="1" x14ac:dyDescent="0.25">
      <c r="A30" s="19" t="s">
        <v>187</v>
      </c>
      <c r="B30" s="19" t="s">
        <v>188</v>
      </c>
      <c r="C30" s="33">
        <v>1</v>
      </c>
      <c r="D30" s="33">
        <v>1</v>
      </c>
      <c r="E30" s="33">
        <v>1</v>
      </c>
      <c r="F30" s="33">
        <v>106</v>
      </c>
      <c r="G30" s="33">
        <v>1</v>
      </c>
      <c r="H30" s="33" cm="1">
        <f t="array" ref="H30">G30*_xlfn.IFS(Настройки!$B$2="M",'Печатные изд.'!C30,Настройки!$B$2="L",'Печатные изд.'!D30,Настройки!$B$2="XL",'Печатные изд.'!E30)</f>
        <v>1</v>
      </c>
      <c r="I30" s="41">
        <f t="shared" si="0"/>
        <v>106</v>
      </c>
      <c r="J30" s="33" t="s">
        <v>516</v>
      </c>
      <c r="K30" s="41" cm="1">
        <f t="array" ref="K30">_xlfn.IFS(J30="Высоконагруженная",Настройки!$B$6,J30="Средне-нагруженная",Настройки!$B$7,J30="Ненагруженная",Настройки!$B$8,J30="Гибкая",Настройки!$B$9)</f>
        <v>1.1499999999999999</v>
      </c>
      <c r="L30" s="41" cm="1">
        <f t="array" ref="L30">_xlfn.IFS(J30="Высоконагруженная",Настройки!$C$6,J30="Средне-нагруженная",Настройки!$C$7,J30="Ненагруженная",Настройки!$C$8,J30="Гибкая",Настройки!$C$9)/1000</f>
        <v>2</v>
      </c>
      <c r="M30" s="51">
        <f t="shared" si="1"/>
        <v>0</v>
      </c>
      <c r="N30" s="51">
        <f t="shared" si="2"/>
        <v>121.89999999999999</v>
      </c>
      <c r="O30" s="51">
        <f t="shared" si="3"/>
        <v>0</v>
      </c>
      <c r="P30" s="51">
        <f t="shared" si="4"/>
        <v>0</v>
      </c>
      <c r="Q30" s="52">
        <f t="shared" si="5"/>
        <v>243.79999999999998</v>
      </c>
      <c r="R30" s="43"/>
    </row>
    <row r="31" spans="1:18" ht="15.95" customHeight="1" x14ac:dyDescent="0.25">
      <c r="A31" s="19" t="s">
        <v>189</v>
      </c>
      <c r="B31" s="19" t="s">
        <v>190</v>
      </c>
      <c r="C31" s="33">
        <v>1</v>
      </c>
      <c r="D31" s="33">
        <v>1</v>
      </c>
      <c r="E31" s="33">
        <v>1</v>
      </c>
      <c r="F31" s="33">
        <v>2</v>
      </c>
      <c r="G31" s="33">
        <v>1</v>
      </c>
      <c r="H31" s="33" cm="1">
        <f t="array" ref="H31">G31*_xlfn.IFS(Настройки!$B$2="M",'Печатные изд.'!C31,Настройки!$B$2="L",'Печатные изд.'!D31,Настройки!$B$2="XL",'Печатные изд.'!E31)</f>
        <v>1</v>
      </c>
      <c r="I31" s="41">
        <f t="shared" si="0"/>
        <v>2</v>
      </c>
      <c r="J31" s="33" t="s">
        <v>517</v>
      </c>
      <c r="K31" s="41" cm="1">
        <f t="array" ref="K31">_xlfn.IFS(J31="Высоконагруженная",Настройки!$B$6,J31="Средне-нагруженная",Настройки!$B$7,J31="Ненагруженная",Настройки!$B$8,J31="Гибкая",Настройки!$B$9)</f>
        <v>1.05</v>
      </c>
      <c r="L31" s="41" cm="1">
        <f t="array" ref="L31">_xlfn.IFS(J31="Высоконагруженная",Настройки!$C$6,J31="Средне-нагруженная",Настройки!$C$7,J31="Ненагруженная",Настройки!$C$8,J31="Гибкая",Настройки!$C$9)/1000</f>
        <v>1</v>
      </c>
      <c r="M31" s="51">
        <f t="shared" si="1"/>
        <v>0</v>
      </c>
      <c r="N31" s="51">
        <f t="shared" si="2"/>
        <v>0</v>
      </c>
      <c r="O31" s="51">
        <f t="shared" si="3"/>
        <v>2.1</v>
      </c>
      <c r="P31" s="51">
        <f t="shared" si="4"/>
        <v>0</v>
      </c>
      <c r="Q31" s="52">
        <f t="shared" si="5"/>
        <v>2.1</v>
      </c>
      <c r="R31" s="43"/>
    </row>
    <row r="32" spans="1:18" ht="15.95" customHeight="1" x14ac:dyDescent="0.25">
      <c r="A32" s="19" t="s">
        <v>191</v>
      </c>
      <c r="B32" s="19" t="s">
        <v>192</v>
      </c>
      <c r="C32" s="33">
        <v>2</v>
      </c>
      <c r="D32" s="33">
        <v>2</v>
      </c>
      <c r="E32" s="33">
        <v>2</v>
      </c>
      <c r="F32" s="33">
        <v>21</v>
      </c>
      <c r="G32" s="33">
        <v>1</v>
      </c>
      <c r="H32" s="33" cm="1">
        <f t="array" ref="H32">G32*_xlfn.IFS(Настройки!$B$2="M",'Печатные изд.'!C32,Настройки!$B$2="L",'Печатные изд.'!D32,Настройки!$B$2="XL",'Печатные изд.'!E32)</f>
        <v>2</v>
      </c>
      <c r="I32" s="41">
        <f t="shared" si="0"/>
        <v>42</v>
      </c>
      <c r="J32" s="33" t="s">
        <v>516</v>
      </c>
      <c r="K32" s="41" cm="1">
        <f t="array" ref="K32">_xlfn.IFS(J32="Высоконагруженная",Настройки!$B$6,J32="Средне-нагруженная",Настройки!$B$7,J32="Ненагруженная",Настройки!$B$8,J32="Гибкая",Настройки!$B$9)</f>
        <v>1.1499999999999999</v>
      </c>
      <c r="L32" s="41" cm="1">
        <f t="array" ref="L32">_xlfn.IFS(J32="Высоконагруженная",Настройки!$C$6,J32="Средне-нагруженная",Настройки!$C$7,J32="Ненагруженная",Настройки!$C$8,J32="Гибкая",Настройки!$C$9)/1000</f>
        <v>2</v>
      </c>
      <c r="M32" s="51">
        <f t="shared" si="1"/>
        <v>0</v>
      </c>
      <c r="N32" s="51">
        <f t="shared" si="2"/>
        <v>48.3</v>
      </c>
      <c r="O32" s="51">
        <f t="shared" si="3"/>
        <v>0</v>
      </c>
      <c r="P32" s="51">
        <f t="shared" si="4"/>
        <v>0</v>
      </c>
      <c r="Q32" s="52">
        <f t="shared" si="5"/>
        <v>96.6</v>
      </c>
      <c r="R32" s="43"/>
    </row>
    <row r="33" spans="1:18" ht="15.95" customHeight="1" x14ac:dyDescent="0.25">
      <c r="A33" s="19" t="s">
        <v>193</v>
      </c>
      <c r="B33" s="19" t="s">
        <v>194</v>
      </c>
      <c r="C33" s="33">
        <v>4</v>
      </c>
      <c r="D33" s="33">
        <v>4</v>
      </c>
      <c r="E33" s="33">
        <v>4</v>
      </c>
      <c r="F33" s="33">
        <v>33</v>
      </c>
      <c r="G33" s="33">
        <v>1</v>
      </c>
      <c r="H33" s="33" cm="1">
        <f t="array" ref="H33">G33*_xlfn.IFS(Настройки!$B$2="M",'Печатные изд.'!C33,Настройки!$B$2="L",'Печатные изд.'!D33,Настройки!$B$2="XL",'Печатные изд.'!E33)</f>
        <v>4</v>
      </c>
      <c r="I33" s="41">
        <f t="shared" si="0"/>
        <v>132</v>
      </c>
      <c r="J33" s="33" t="s">
        <v>516</v>
      </c>
      <c r="K33" s="41" cm="1">
        <f t="array" ref="K33">_xlfn.IFS(J33="Высоконагруженная",Настройки!$B$6,J33="Средне-нагруженная",Настройки!$B$7,J33="Ненагруженная",Настройки!$B$8,J33="Гибкая",Настройки!$B$9)</f>
        <v>1.1499999999999999</v>
      </c>
      <c r="L33" s="41" cm="1">
        <f t="array" ref="L33">_xlfn.IFS(J33="Высоконагруженная",Настройки!$C$6,J33="Средне-нагруженная",Настройки!$C$7,J33="Ненагруженная",Настройки!$C$8,J33="Гибкая",Настройки!$C$9)/1000</f>
        <v>2</v>
      </c>
      <c r="M33" s="51">
        <f t="shared" si="1"/>
        <v>0</v>
      </c>
      <c r="N33" s="51">
        <f t="shared" si="2"/>
        <v>151.79999999999998</v>
      </c>
      <c r="O33" s="51">
        <f t="shared" si="3"/>
        <v>0</v>
      </c>
      <c r="P33" s="51">
        <f t="shared" si="4"/>
        <v>0</v>
      </c>
      <c r="Q33" s="52">
        <f t="shared" si="5"/>
        <v>303.59999999999997</v>
      </c>
      <c r="R33" s="43"/>
    </row>
    <row r="34" spans="1:18" ht="15.95" customHeight="1" x14ac:dyDescent="0.25">
      <c r="A34" s="19" t="s">
        <v>195</v>
      </c>
      <c r="B34" s="19" t="s">
        <v>196</v>
      </c>
      <c r="C34" s="33">
        <v>4</v>
      </c>
      <c r="D34" s="33">
        <v>4</v>
      </c>
      <c r="E34" s="33">
        <v>4</v>
      </c>
      <c r="F34" s="33">
        <v>6</v>
      </c>
      <c r="G34" s="33">
        <v>1</v>
      </c>
      <c r="H34" s="33" cm="1">
        <f t="array" ref="H34">G34*_xlfn.IFS(Настройки!$B$2="M",'Печатные изд.'!C34,Настройки!$B$2="L",'Печатные изд.'!D34,Настройки!$B$2="XL",'Печатные изд.'!E34)</f>
        <v>4</v>
      </c>
      <c r="I34" s="41">
        <f t="shared" si="0"/>
        <v>24</v>
      </c>
      <c r="J34" s="33" t="s">
        <v>525</v>
      </c>
      <c r="K34" s="41" cm="1">
        <f t="array" ref="K34">_xlfn.IFS(J34="Высоконагруженная",Настройки!$B$6,J34="Средне-нагруженная",Настройки!$B$7,J34="Ненагруженная",Настройки!$B$8,J34="Гибкая",Настройки!$B$9)</f>
        <v>1.2</v>
      </c>
      <c r="L34" s="41" cm="1">
        <f t="array" ref="L34">_xlfn.IFS(J34="Высоконагруженная",Настройки!$C$6,J34="Средне-нагруженная",Настройки!$C$7,J34="Ненагруженная",Настройки!$C$8,J34="Гибкая",Настройки!$C$9)/1000</f>
        <v>2</v>
      </c>
      <c r="M34" s="51">
        <f t="shared" si="1"/>
        <v>0</v>
      </c>
      <c r="N34" s="51">
        <f t="shared" si="2"/>
        <v>0</v>
      </c>
      <c r="O34" s="51">
        <f t="shared" si="3"/>
        <v>0</v>
      </c>
      <c r="P34" s="51">
        <f>IF(J34="Гибкая",1,0)*G34*I34*K34</f>
        <v>28.799999999999997</v>
      </c>
      <c r="Q34" s="52">
        <f t="shared" si="5"/>
        <v>57.599999999999994</v>
      </c>
      <c r="R34" s="43"/>
    </row>
    <row r="35" spans="1:18" ht="15.95" customHeight="1" x14ac:dyDescent="0.25">
      <c r="A35" s="19" t="s">
        <v>197</v>
      </c>
      <c r="B35" s="19" t="s">
        <v>198</v>
      </c>
      <c r="C35" s="33">
        <v>2</v>
      </c>
      <c r="D35" s="33">
        <v>2</v>
      </c>
      <c r="E35" s="33">
        <v>2</v>
      </c>
      <c r="F35" s="33">
        <v>10</v>
      </c>
      <c r="G35" s="33">
        <v>1</v>
      </c>
      <c r="H35" s="33" cm="1">
        <f t="array" ref="H35">G35*_xlfn.IFS(Настройки!$B$2="M",'Печатные изд.'!C35,Настройки!$B$2="L",'Печатные изд.'!D35,Настройки!$B$2="XL",'Печатные изд.'!E35)</f>
        <v>2</v>
      </c>
      <c r="I35" s="41">
        <f t="shared" si="0"/>
        <v>20</v>
      </c>
      <c r="J35" s="33" t="s">
        <v>516</v>
      </c>
      <c r="K35" s="41" cm="1">
        <f t="array" ref="K35">_xlfn.IFS(J35="Высоконагруженная",Настройки!$B$6,J35="Средне-нагруженная",Настройки!$B$7,J35="Ненагруженная",Настройки!$B$8,J35="Гибкая",Настройки!$B$9)</f>
        <v>1.1499999999999999</v>
      </c>
      <c r="L35" s="41" cm="1">
        <f t="array" ref="L35">_xlfn.IFS(J35="Высоконагруженная",Настройки!$C$6,J35="Средне-нагруженная",Настройки!$C$7,J35="Ненагруженная",Настройки!$C$8,J35="Гибкая",Настройки!$C$9)/1000</f>
        <v>2</v>
      </c>
      <c r="M35" s="51">
        <f t="shared" si="1"/>
        <v>0</v>
      </c>
      <c r="N35" s="51">
        <f t="shared" si="2"/>
        <v>23</v>
      </c>
      <c r="O35" s="51">
        <f t="shared" si="3"/>
        <v>0</v>
      </c>
      <c r="P35" s="51">
        <f t="shared" si="4"/>
        <v>0</v>
      </c>
      <c r="Q35" s="52">
        <f t="shared" si="5"/>
        <v>46</v>
      </c>
      <c r="R35" s="43"/>
    </row>
    <row r="36" spans="1:18" ht="15.95" customHeight="1" x14ac:dyDescent="0.25">
      <c r="A36" s="19" t="s">
        <v>199</v>
      </c>
      <c r="B36" s="19" t="s">
        <v>200</v>
      </c>
      <c r="C36" s="33">
        <v>2</v>
      </c>
      <c r="D36" s="33">
        <v>4</v>
      </c>
      <c r="E36" s="33">
        <v>4</v>
      </c>
      <c r="F36" s="33">
        <v>100</v>
      </c>
      <c r="G36" s="33">
        <v>1</v>
      </c>
      <c r="H36" s="33" cm="1">
        <f t="array" ref="H36">G36*_xlfn.IFS(Настройки!$B$2="M",'Печатные изд.'!C36,Настройки!$B$2="L",'Печатные изд.'!D36,Настройки!$B$2="XL",'Печатные изд.'!E36)</f>
        <v>2</v>
      </c>
      <c r="I36" s="41">
        <f t="shared" si="0"/>
        <v>200</v>
      </c>
      <c r="J36" s="33" t="s">
        <v>516</v>
      </c>
      <c r="K36" s="41" cm="1">
        <f t="array" ref="K36">_xlfn.IFS(J36="Высоконагруженная",Настройки!$B$6,J36="Средне-нагруженная",Настройки!$B$7,J36="Ненагруженная",Настройки!$B$8,J36="Гибкая",Настройки!$B$9)</f>
        <v>1.1499999999999999</v>
      </c>
      <c r="L36" s="41" cm="1">
        <f t="array" ref="L36">_xlfn.IFS(J36="Высоконагруженная",Настройки!$C$6,J36="Средне-нагруженная",Настройки!$C$7,J36="Ненагруженная",Настройки!$C$8,J36="Гибкая",Настройки!$C$9)/1000</f>
        <v>2</v>
      </c>
      <c r="M36" s="51">
        <f t="shared" si="1"/>
        <v>0</v>
      </c>
      <c r="N36" s="51">
        <f t="shared" si="2"/>
        <v>229.99999999999997</v>
      </c>
      <c r="O36" s="51">
        <f t="shared" si="3"/>
        <v>0</v>
      </c>
      <c r="P36" s="51">
        <f t="shared" si="4"/>
        <v>0</v>
      </c>
      <c r="Q36" s="52">
        <f t="shared" si="5"/>
        <v>459.99999999999994</v>
      </c>
      <c r="R36" s="43"/>
    </row>
    <row r="37" spans="1:18" ht="15.95" customHeight="1" x14ac:dyDescent="0.25">
      <c r="A37" s="19" t="s">
        <v>201</v>
      </c>
      <c r="B37" s="19" t="s">
        <v>202</v>
      </c>
      <c r="C37" s="33">
        <v>1</v>
      </c>
      <c r="D37" s="33">
        <v>2</v>
      </c>
      <c r="E37" s="33">
        <v>2</v>
      </c>
      <c r="F37" s="33">
        <v>14</v>
      </c>
      <c r="G37" s="33">
        <v>1</v>
      </c>
      <c r="H37" s="33" cm="1">
        <f t="array" ref="H37">G37*_xlfn.IFS(Настройки!$B$2="M",'Печатные изд.'!C37,Настройки!$B$2="L",'Печатные изд.'!D37,Настройки!$B$2="XL",'Печатные изд.'!E37)</f>
        <v>1</v>
      </c>
      <c r="I37" s="41">
        <f t="shared" si="0"/>
        <v>14</v>
      </c>
      <c r="J37" s="33" t="s">
        <v>516</v>
      </c>
      <c r="K37" s="41" cm="1">
        <f t="array" ref="K37">_xlfn.IFS(J37="Высоконагруженная",Настройки!$B$6,J37="Средне-нагруженная",Настройки!$B$7,J37="Ненагруженная",Настройки!$B$8,J37="Гибкая",Настройки!$B$9)</f>
        <v>1.1499999999999999</v>
      </c>
      <c r="L37" s="41" cm="1">
        <f t="array" ref="L37">_xlfn.IFS(J37="Высоконагруженная",Настройки!$C$6,J37="Средне-нагруженная",Настройки!$C$7,J37="Ненагруженная",Настройки!$C$8,J37="Гибкая",Настройки!$C$9)/1000</f>
        <v>2</v>
      </c>
      <c r="M37" s="51">
        <f t="shared" si="1"/>
        <v>0</v>
      </c>
      <c r="N37" s="51">
        <f t="shared" si="2"/>
        <v>16.099999999999998</v>
      </c>
      <c r="O37" s="51">
        <f t="shared" si="3"/>
        <v>0</v>
      </c>
      <c r="P37" s="51">
        <f t="shared" si="4"/>
        <v>0</v>
      </c>
      <c r="Q37" s="52">
        <f t="shared" si="5"/>
        <v>32.199999999999996</v>
      </c>
      <c r="R37" s="43"/>
    </row>
    <row r="38" spans="1:18" ht="15.95" customHeight="1" x14ac:dyDescent="0.25">
      <c r="A38" s="19" t="s">
        <v>203</v>
      </c>
      <c r="B38" s="19" t="s">
        <v>204</v>
      </c>
      <c r="C38" s="33">
        <v>1</v>
      </c>
      <c r="D38" s="33">
        <v>2</v>
      </c>
      <c r="E38" s="33">
        <v>2</v>
      </c>
      <c r="F38" s="33">
        <v>9</v>
      </c>
      <c r="G38" s="33">
        <v>1</v>
      </c>
      <c r="H38" s="33" cm="1">
        <f t="array" ref="H38">G38*_xlfn.IFS(Настройки!$B$2="M",'Печатные изд.'!C38,Настройки!$B$2="L",'Печатные изд.'!D38,Настройки!$B$2="XL",'Печатные изд.'!E38)</f>
        <v>1</v>
      </c>
      <c r="I38" s="41">
        <f t="shared" si="0"/>
        <v>9</v>
      </c>
      <c r="J38" s="33" t="s">
        <v>516</v>
      </c>
      <c r="K38" s="41" cm="1">
        <f t="array" ref="K38">_xlfn.IFS(J38="Высоконагруженная",Настройки!$B$6,J38="Средне-нагруженная",Настройки!$B$7,J38="Ненагруженная",Настройки!$B$8,J38="Гибкая",Настройки!$B$9)</f>
        <v>1.1499999999999999</v>
      </c>
      <c r="L38" s="41" cm="1">
        <f t="array" ref="L38">_xlfn.IFS(J38="Высоконагруженная",Настройки!$C$6,J38="Средне-нагруженная",Настройки!$C$7,J38="Ненагруженная",Настройки!$C$8,J38="Гибкая",Настройки!$C$9)/1000</f>
        <v>2</v>
      </c>
      <c r="M38" s="51">
        <f t="shared" si="1"/>
        <v>0</v>
      </c>
      <c r="N38" s="51">
        <f t="shared" si="2"/>
        <v>10.35</v>
      </c>
      <c r="O38" s="51">
        <f t="shared" si="3"/>
        <v>0</v>
      </c>
      <c r="P38" s="51">
        <f t="shared" si="4"/>
        <v>0</v>
      </c>
      <c r="Q38" s="52">
        <f t="shared" si="5"/>
        <v>20.7</v>
      </c>
      <c r="R38" s="43"/>
    </row>
    <row r="39" spans="1:18" ht="15.95" customHeight="1" x14ac:dyDescent="0.25">
      <c r="A39" s="19" t="s">
        <v>205</v>
      </c>
      <c r="B39" s="19" t="s">
        <v>206</v>
      </c>
      <c r="C39" s="33">
        <v>1</v>
      </c>
      <c r="D39" s="33">
        <v>2</v>
      </c>
      <c r="E39" s="33">
        <v>2</v>
      </c>
      <c r="F39" s="33">
        <v>9</v>
      </c>
      <c r="G39" s="33">
        <v>1</v>
      </c>
      <c r="H39" s="33" cm="1">
        <f t="array" ref="H39">G39*_xlfn.IFS(Настройки!$B$2="M",'Печатные изд.'!C39,Настройки!$B$2="L",'Печатные изд.'!D39,Настройки!$B$2="XL",'Печатные изд.'!E39)</f>
        <v>1</v>
      </c>
      <c r="I39" s="41">
        <f t="shared" si="0"/>
        <v>9</v>
      </c>
      <c r="J39" s="33" t="s">
        <v>516</v>
      </c>
      <c r="K39" s="41" cm="1">
        <f t="array" ref="K39">_xlfn.IFS(J39="Высоконагруженная",Настройки!$B$6,J39="Средне-нагруженная",Настройки!$B$7,J39="Ненагруженная",Настройки!$B$8,J39="Гибкая",Настройки!$B$9)</f>
        <v>1.1499999999999999</v>
      </c>
      <c r="L39" s="41" cm="1">
        <f t="array" ref="L39">_xlfn.IFS(J39="Высоконагруженная",Настройки!$C$6,J39="Средне-нагруженная",Настройки!$C$7,J39="Ненагруженная",Настройки!$C$8,J39="Гибкая",Настройки!$C$9)/1000</f>
        <v>2</v>
      </c>
      <c r="M39" s="51">
        <f t="shared" si="1"/>
        <v>0</v>
      </c>
      <c r="N39" s="51">
        <f t="shared" si="2"/>
        <v>10.35</v>
      </c>
      <c r="O39" s="51">
        <f t="shared" si="3"/>
        <v>0</v>
      </c>
      <c r="P39" s="51">
        <f t="shared" si="4"/>
        <v>0</v>
      </c>
      <c r="Q39" s="52">
        <f t="shared" si="5"/>
        <v>20.7</v>
      </c>
      <c r="R39" s="43"/>
    </row>
    <row r="40" spans="1:18" ht="15.95" customHeight="1" x14ac:dyDescent="0.25">
      <c r="A40" s="19" t="s">
        <v>207</v>
      </c>
      <c r="B40" s="19" t="s">
        <v>208</v>
      </c>
      <c r="C40" s="33">
        <v>1</v>
      </c>
      <c r="D40" s="33">
        <v>2</v>
      </c>
      <c r="E40" s="33">
        <v>2</v>
      </c>
      <c r="F40" s="33">
        <v>3</v>
      </c>
      <c r="G40" s="33">
        <v>1</v>
      </c>
      <c r="H40" s="33" cm="1">
        <f t="array" ref="H40">G40*_xlfn.IFS(Настройки!$B$2="M",'Печатные изд.'!C40,Настройки!$B$2="L",'Печатные изд.'!D40,Настройки!$B$2="XL",'Печатные изд.'!E40)</f>
        <v>1</v>
      </c>
      <c r="I40" s="41">
        <f t="shared" si="0"/>
        <v>3</v>
      </c>
      <c r="J40" s="33" t="s">
        <v>516</v>
      </c>
      <c r="K40" s="41" cm="1">
        <f t="array" ref="K40">_xlfn.IFS(J40="Высоконагруженная",Настройки!$B$6,J40="Средне-нагруженная",Настройки!$B$7,J40="Ненагруженная",Настройки!$B$8,J40="Гибкая",Настройки!$B$9)</f>
        <v>1.1499999999999999</v>
      </c>
      <c r="L40" s="41" cm="1">
        <f t="array" ref="L40">_xlfn.IFS(J40="Высоконагруженная",Настройки!$C$6,J40="Средне-нагруженная",Настройки!$C$7,J40="Ненагруженная",Настройки!$C$8,J40="Гибкая",Настройки!$C$9)/1000</f>
        <v>2</v>
      </c>
      <c r="M40" s="51">
        <f t="shared" si="1"/>
        <v>0</v>
      </c>
      <c r="N40" s="51">
        <f t="shared" si="2"/>
        <v>3.4499999999999997</v>
      </c>
      <c r="O40" s="51">
        <f t="shared" si="3"/>
        <v>0</v>
      </c>
      <c r="P40" s="51">
        <f t="shared" si="4"/>
        <v>0</v>
      </c>
      <c r="Q40" s="52">
        <f t="shared" si="5"/>
        <v>6.8999999999999995</v>
      </c>
      <c r="R40" s="43"/>
    </row>
    <row r="41" spans="1:18" ht="15.95" customHeight="1" x14ac:dyDescent="0.25">
      <c r="A41" s="19" t="s">
        <v>209</v>
      </c>
      <c r="B41" s="19" t="s">
        <v>210</v>
      </c>
      <c r="C41" s="33">
        <v>9</v>
      </c>
      <c r="D41" s="33">
        <v>9</v>
      </c>
      <c r="E41" s="33">
        <v>9</v>
      </c>
      <c r="F41" s="33">
        <v>13</v>
      </c>
      <c r="G41" s="33">
        <v>1</v>
      </c>
      <c r="H41" s="33" cm="1">
        <f t="array" ref="H41">G41*_xlfn.IFS(Настройки!$B$2="M",'Печатные изд.'!C41,Настройки!$B$2="L",'Печатные изд.'!D41,Настройки!$B$2="XL",'Печатные изд.'!E41)</f>
        <v>9</v>
      </c>
      <c r="I41" s="41">
        <f t="shared" si="0"/>
        <v>117</v>
      </c>
      <c r="J41" s="33" t="s">
        <v>516</v>
      </c>
      <c r="K41" s="41" cm="1">
        <f t="array" ref="K41">_xlfn.IFS(J41="Высоконагруженная",Настройки!$B$6,J41="Средне-нагруженная",Настройки!$B$7,J41="Ненагруженная",Настройки!$B$8,J41="Гибкая",Настройки!$B$9)</f>
        <v>1.1499999999999999</v>
      </c>
      <c r="L41" s="41" cm="1">
        <f t="array" ref="L41">_xlfn.IFS(J41="Высоконагруженная",Настройки!$C$6,J41="Средне-нагруженная",Настройки!$C$7,J41="Ненагруженная",Настройки!$C$8,J41="Гибкая",Настройки!$C$9)/1000</f>
        <v>2</v>
      </c>
      <c r="M41" s="51">
        <f t="shared" si="1"/>
        <v>0</v>
      </c>
      <c r="N41" s="51">
        <f t="shared" si="2"/>
        <v>134.54999999999998</v>
      </c>
      <c r="O41" s="51">
        <f t="shared" si="3"/>
        <v>0</v>
      </c>
      <c r="P41" s="51">
        <f t="shared" si="4"/>
        <v>0</v>
      </c>
      <c r="Q41" s="52">
        <f t="shared" si="5"/>
        <v>269.09999999999997</v>
      </c>
      <c r="R41" s="43"/>
    </row>
    <row r="42" spans="1:18" ht="15.95" customHeight="1" x14ac:dyDescent="0.25">
      <c r="A42" s="19" t="s">
        <v>211</v>
      </c>
      <c r="B42" s="19" t="s">
        <v>212</v>
      </c>
      <c r="C42" s="33">
        <v>9</v>
      </c>
      <c r="D42" s="33">
        <v>9</v>
      </c>
      <c r="E42" s="33">
        <v>9</v>
      </c>
      <c r="F42" s="33">
        <v>9</v>
      </c>
      <c r="G42" s="33">
        <v>1</v>
      </c>
      <c r="H42" s="33" cm="1">
        <f t="array" ref="H42">G42*_xlfn.IFS(Настройки!$B$2="M",'Печатные изд.'!C42,Настройки!$B$2="L",'Печатные изд.'!D42,Настройки!$B$2="XL",'Печатные изд.'!E42)</f>
        <v>9</v>
      </c>
      <c r="I42" s="41">
        <f t="shared" si="0"/>
        <v>81</v>
      </c>
      <c r="J42" s="33" t="s">
        <v>516</v>
      </c>
      <c r="K42" s="41" cm="1">
        <f t="array" ref="K42">_xlfn.IFS(J42="Высоконагруженная",Настройки!$B$6,J42="Средне-нагруженная",Настройки!$B$7,J42="Ненагруженная",Настройки!$B$8,J42="Гибкая",Настройки!$B$9)</f>
        <v>1.1499999999999999</v>
      </c>
      <c r="L42" s="41" cm="1">
        <f t="array" ref="L42">_xlfn.IFS(J42="Высоконагруженная",Настройки!$C$6,J42="Средне-нагруженная",Настройки!$C$7,J42="Ненагруженная",Настройки!$C$8,J42="Гибкая",Настройки!$C$9)/1000</f>
        <v>2</v>
      </c>
      <c r="M42" s="51">
        <f t="shared" si="1"/>
        <v>0</v>
      </c>
      <c r="N42" s="51">
        <f t="shared" si="2"/>
        <v>93.149999999999991</v>
      </c>
      <c r="O42" s="51">
        <f t="shared" si="3"/>
        <v>0</v>
      </c>
      <c r="P42" s="51">
        <f t="shared" si="4"/>
        <v>0</v>
      </c>
      <c r="Q42" s="52">
        <f t="shared" si="5"/>
        <v>186.29999999999998</v>
      </c>
      <c r="R42" s="43"/>
    </row>
    <row r="43" spans="1:18" ht="15.95" customHeight="1" x14ac:dyDescent="0.25">
      <c r="A43" s="19" t="s">
        <v>213</v>
      </c>
      <c r="B43" s="19" t="s">
        <v>214</v>
      </c>
      <c r="C43" s="33">
        <v>12</v>
      </c>
      <c r="D43" s="33">
        <v>30</v>
      </c>
      <c r="E43" s="33">
        <v>42</v>
      </c>
      <c r="F43" s="33">
        <v>5</v>
      </c>
      <c r="G43" s="33">
        <v>1</v>
      </c>
      <c r="H43" s="33" cm="1">
        <f t="array" ref="H43">G43*_xlfn.IFS(Настройки!$B$2="M",'Печатные изд.'!C43,Настройки!$B$2="L",'Печатные изд.'!D43,Настройки!$B$2="XL",'Печатные изд.'!E43)</f>
        <v>12</v>
      </c>
      <c r="I43" s="41">
        <f t="shared" si="0"/>
        <v>60</v>
      </c>
      <c r="J43" s="33" t="s">
        <v>516</v>
      </c>
      <c r="K43" s="41" cm="1">
        <f t="array" ref="K43">_xlfn.IFS(J43="Высоконагруженная",Настройки!$B$6,J43="Средне-нагруженная",Настройки!$B$7,J43="Ненагруженная",Настройки!$B$8,J43="Гибкая",Настройки!$B$9)</f>
        <v>1.1499999999999999</v>
      </c>
      <c r="L43" s="41" cm="1">
        <f t="array" ref="L43">_xlfn.IFS(J43="Высоконагруженная",Настройки!$C$6,J43="Средне-нагруженная",Настройки!$C$7,J43="Ненагруженная",Настройки!$C$8,J43="Гибкая",Настройки!$C$9)/1000</f>
        <v>2</v>
      </c>
      <c r="M43" s="51">
        <f t="shared" si="1"/>
        <v>0</v>
      </c>
      <c r="N43" s="51">
        <f t="shared" si="2"/>
        <v>69</v>
      </c>
      <c r="O43" s="51">
        <f t="shared" si="3"/>
        <v>0</v>
      </c>
      <c r="P43" s="51">
        <f t="shared" si="4"/>
        <v>0</v>
      </c>
      <c r="Q43" s="52">
        <f t="shared" si="5"/>
        <v>138</v>
      </c>
      <c r="R43" s="43"/>
    </row>
    <row r="44" spans="1:18" ht="15.95" customHeight="1" x14ac:dyDescent="0.25">
      <c r="A44" s="19" t="s">
        <v>215</v>
      </c>
      <c r="B44" s="19" t="s">
        <v>216</v>
      </c>
      <c r="C44" s="33">
        <v>4</v>
      </c>
      <c r="D44" s="33">
        <v>0</v>
      </c>
      <c r="E44" s="33">
        <v>0</v>
      </c>
      <c r="F44" s="33">
        <v>19</v>
      </c>
      <c r="G44" s="33">
        <v>1</v>
      </c>
      <c r="H44" s="33" cm="1">
        <f t="array" ref="H44">G44*_xlfn.IFS(Настройки!$B$2="M",'Печатные изд.'!C44,Настройки!$B$2="L",'Печатные изд.'!D44,Настройки!$B$2="XL",'Печатные изд.'!E44)</f>
        <v>4</v>
      </c>
      <c r="I44" s="41">
        <f t="shared" si="0"/>
        <v>76</v>
      </c>
      <c r="J44" s="33" t="s">
        <v>517</v>
      </c>
      <c r="K44" s="41" cm="1">
        <f t="array" ref="K44">_xlfn.IFS(J44="Высоконагруженная",Настройки!$B$6,J44="Средне-нагруженная",Настройки!$B$7,J44="Ненагруженная",Настройки!$B$8,J44="Гибкая",Настройки!$B$9)</f>
        <v>1.05</v>
      </c>
      <c r="L44" s="41" cm="1">
        <f t="array" ref="L44">_xlfn.IFS(J44="Высоконагруженная",Настройки!$C$6,J44="Средне-нагруженная",Настройки!$C$7,J44="Ненагруженная",Настройки!$C$8,J44="Гибкая",Настройки!$C$9)/1000</f>
        <v>1</v>
      </c>
      <c r="M44" s="51">
        <f t="shared" si="1"/>
        <v>0</v>
      </c>
      <c r="N44" s="51">
        <f t="shared" si="2"/>
        <v>0</v>
      </c>
      <c r="O44" s="51">
        <f t="shared" si="3"/>
        <v>79.8</v>
      </c>
      <c r="P44" s="51">
        <f t="shared" si="4"/>
        <v>0</v>
      </c>
      <c r="Q44" s="52">
        <f t="shared" si="5"/>
        <v>79.8</v>
      </c>
      <c r="R44" s="43"/>
    </row>
    <row r="45" spans="1:18" ht="15.95" customHeight="1" x14ac:dyDescent="0.25">
      <c r="A45" s="19" t="s">
        <v>217</v>
      </c>
      <c r="B45" s="19" t="s">
        <v>218</v>
      </c>
      <c r="C45" s="33">
        <v>5</v>
      </c>
      <c r="D45" s="33">
        <v>5</v>
      </c>
      <c r="E45" s="33">
        <v>5</v>
      </c>
      <c r="F45" s="33">
        <v>2</v>
      </c>
      <c r="G45" s="33">
        <v>1</v>
      </c>
      <c r="H45" s="33" cm="1">
        <f t="array" ref="H45">G45*_xlfn.IFS(Настройки!$B$2="M",'Печатные изд.'!C45,Настройки!$B$2="L",'Печатные изд.'!D45,Настройки!$B$2="XL",'Печатные изд.'!E45)</f>
        <v>5</v>
      </c>
      <c r="I45" s="41">
        <f t="shared" si="0"/>
        <v>10</v>
      </c>
      <c r="J45" s="33" t="s">
        <v>517</v>
      </c>
      <c r="K45" s="41" cm="1">
        <f t="array" ref="K45">_xlfn.IFS(J45="Высоконагруженная",Настройки!$B$6,J45="Средне-нагруженная",Настройки!$B$7,J45="Ненагруженная",Настройки!$B$8,J45="Гибкая",Настройки!$B$9)</f>
        <v>1.05</v>
      </c>
      <c r="L45" s="41" cm="1">
        <f t="array" ref="L45">_xlfn.IFS(J45="Высоконагруженная",Настройки!$C$6,J45="Средне-нагруженная",Настройки!$C$7,J45="Ненагруженная",Настройки!$C$8,J45="Гибкая",Настройки!$C$9)/1000</f>
        <v>1</v>
      </c>
      <c r="M45" s="51">
        <f t="shared" si="1"/>
        <v>0</v>
      </c>
      <c r="N45" s="51">
        <f t="shared" si="2"/>
        <v>0</v>
      </c>
      <c r="O45" s="51">
        <f t="shared" si="3"/>
        <v>10.5</v>
      </c>
      <c r="P45" s="51">
        <f t="shared" si="4"/>
        <v>0</v>
      </c>
      <c r="Q45" s="52">
        <f t="shared" si="5"/>
        <v>10.5</v>
      </c>
      <c r="R45" s="43"/>
    </row>
    <row r="46" spans="1:18" ht="15.95" customHeight="1" x14ac:dyDescent="0.25">
      <c r="A46" s="19" t="s">
        <v>219</v>
      </c>
      <c r="B46" s="19" t="s">
        <v>220</v>
      </c>
      <c r="C46" s="33">
        <v>0</v>
      </c>
      <c r="D46" s="33">
        <v>4</v>
      </c>
      <c r="E46" s="33">
        <v>4</v>
      </c>
      <c r="F46" s="33">
        <v>1</v>
      </c>
      <c r="G46" s="33">
        <v>1</v>
      </c>
      <c r="H46" s="33" cm="1">
        <f t="array" ref="H46">G46*_xlfn.IFS(Настройки!$B$2="M",'Печатные изд.'!C46,Настройки!$B$2="L",'Печатные изд.'!D46,Настройки!$B$2="XL",'Печатные изд.'!E46)</f>
        <v>0</v>
      </c>
      <c r="I46" s="41">
        <f t="shared" si="0"/>
        <v>0</v>
      </c>
      <c r="J46" s="33" t="s">
        <v>517</v>
      </c>
      <c r="K46" s="41" cm="1">
        <f t="array" ref="K46">_xlfn.IFS(J46="Высоконагруженная",Настройки!$B$6,J46="Средне-нагруженная",Настройки!$B$7,J46="Ненагруженная",Настройки!$B$8,J46="Гибкая",Настройки!$B$9)</f>
        <v>1.05</v>
      </c>
      <c r="L46" s="41" cm="1">
        <f t="array" ref="L46">_xlfn.IFS(J46="Высоконагруженная",Настройки!$C$6,J46="Средне-нагруженная",Настройки!$C$7,J46="Ненагруженная",Настройки!$C$8,J46="Гибкая",Настройки!$C$9)/1000</f>
        <v>1</v>
      </c>
      <c r="M46" s="51">
        <f t="shared" si="1"/>
        <v>0</v>
      </c>
      <c r="N46" s="51">
        <f t="shared" si="2"/>
        <v>0</v>
      </c>
      <c r="O46" s="51">
        <f t="shared" si="3"/>
        <v>0</v>
      </c>
      <c r="P46" s="51">
        <f t="shared" si="4"/>
        <v>0</v>
      </c>
      <c r="Q46" s="52">
        <f t="shared" si="5"/>
        <v>0</v>
      </c>
      <c r="R46" s="43"/>
    </row>
    <row r="47" spans="1:18" ht="15.95" customHeight="1" x14ac:dyDescent="0.25">
      <c r="A47" s="19" t="s">
        <v>221</v>
      </c>
      <c r="B47" s="19" t="s">
        <v>222</v>
      </c>
      <c r="C47" s="33">
        <v>13</v>
      </c>
      <c r="D47" s="33">
        <v>13</v>
      </c>
      <c r="E47" s="33">
        <v>13</v>
      </c>
      <c r="F47" s="33">
        <v>2</v>
      </c>
      <c r="G47" s="33">
        <v>1</v>
      </c>
      <c r="H47" s="33" cm="1">
        <f t="array" ref="H47">G47*_xlfn.IFS(Настройки!$B$2="M",'Печатные изд.'!C47,Настройки!$B$2="L",'Печатные изд.'!D47,Настройки!$B$2="XL",'Печатные изд.'!E47)</f>
        <v>13</v>
      </c>
      <c r="I47" s="41">
        <f t="shared" si="0"/>
        <v>26</v>
      </c>
      <c r="J47" s="33" t="s">
        <v>517</v>
      </c>
      <c r="K47" s="41" cm="1">
        <f t="array" ref="K47">_xlfn.IFS(J47="Высоконагруженная",Настройки!$B$6,J47="Средне-нагруженная",Настройки!$B$7,J47="Ненагруженная",Настройки!$B$8,J47="Гибкая",Настройки!$B$9)</f>
        <v>1.05</v>
      </c>
      <c r="L47" s="41" cm="1">
        <f t="array" ref="L47">_xlfn.IFS(J47="Высоконагруженная",Настройки!$C$6,J47="Средне-нагруженная",Настройки!$C$7,J47="Ненагруженная",Настройки!$C$8,J47="Гибкая",Настройки!$C$9)/1000</f>
        <v>1</v>
      </c>
      <c r="M47" s="51">
        <f t="shared" si="1"/>
        <v>0</v>
      </c>
      <c r="N47" s="51">
        <f t="shared" si="2"/>
        <v>0</v>
      </c>
      <c r="O47" s="51">
        <f t="shared" si="3"/>
        <v>27.3</v>
      </c>
      <c r="P47" s="51">
        <f t="shared" si="4"/>
        <v>0</v>
      </c>
      <c r="Q47" s="52">
        <f t="shared" si="5"/>
        <v>27.3</v>
      </c>
      <c r="R47" s="43"/>
    </row>
    <row r="48" spans="1:18" ht="15.95" customHeight="1" x14ac:dyDescent="0.25">
      <c r="A48" s="19" t="s">
        <v>223</v>
      </c>
      <c r="B48" s="19" t="s">
        <v>224</v>
      </c>
      <c r="C48" s="33">
        <v>1</v>
      </c>
      <c r="D48" s="33">
        <v>1</v>
      </c>
      <c r="E48" s="33">
        <v>1</v>
      </c>
      <c r="F48" s="33">
        <v>6</v>
      </c>
      <c r="G48" s="33">
        <v>1</v>
      </c>
      <c r="H48" s="33" cm="1">
        <f t="array" ref="H48">G48*_xlfn.IFS(Настройки!$B$2="M",'Печатные изд.'!C48,Настройки!$B$2="L",'Печатные изд.'!D48,Настройки!$B$2="XL",'Печатные изд.'!E48)</f>
        <v>1</v>
      </c>
      <c r="I48" s="41">
        <f t="shared" si="0"/>
        <v>6</v>
      </c>
      <c r="J48" s="33" t="s">
        <v>517</v>
      </c>
      <c r="K48" s="41" cm="1">
        <f t="array" ref="K48">_xlfn.IFS(J48="Высоконагруженная",Настройки!$B$6,J48="Средне-нагруженная",Настройки!$B$7,J48="Ненагруженная",Настройки!$B$8,J48="Гибкая",Настройки!$B$9)</f>
        <v>1.05</v>
      </c>
      <c r="L48" s="41" cm="1">
        <f t="array" ref="L48">_xlfn.IFS(J48="Высоконагруженная",Настройки!$C$6,J48="Средне-нагруженная",Настройки!$C$7,J48="Ненагруженная",Настройки!$C$8,J48="Гибкая",Настройки!$C$9)/1000</f>
        <v>1</v>
      </c>
      <c r="M48" s="51">
        <f t="shared" si="1"/>
        <v>0</v>
      </c>
      <c r="N48" s="51">
        <f t="shared" si="2"/>
        <v>0</v>
      </c>
      <c r="O48" s="51">
        <f t="shared" si="3"/>
        <v>6.3000000000000007</v>
      </c>
      <c r="P48" s="51">
        <f t="shared" si="4"/>
        <v>0</v>
      </c>
      <c r="Q48" s="52">
        <f t="shared" si="5"/>
        <v>6.3000000000000007</v>
      </c>
      <c r="R48" s="43"/>
    </row>
    <row r="49" spans="1:18" ht="15.95" customHeight="1" x14ac:dyDescent="0.25">
      <c r="A49" s="19" t="s">
        <v>225</v>
      </c>
      <c r="B49" s="19" t="s">
        <v>226</v>
      </c>
      <c r="C49" s="33">
        <v>1</v>
      </c>
      <c r="D49" s="33">
        <v>1</v>
      </c>
      <c r="E49" s="33">
        <v>1</v>
      </c>
      <c r="F49" s="33">
        <v>9</v>
      </c>
      <c r="G49" s="33">
        <v>1</v>
      </c>
      <c r="H49" s="33" cm="1">
        <f t="array" ref="H49">G49*_xlfn.IFS(Настройки!$B$2="M",'Печатные изд.'!C49,Настройки!$B$2="L",'Печатные изд.'!D49,Настройки!$B$2="XL",'Печатные изд.'!E49)</f>
        <v>1</v>
      </c>
      <c r="I49" s="41">
        <f t="shared" si="0"/>
        <v>9</v>
      </c>
      <c r="J49" s="33" t="s">
        <v>517</v>
      </c>
      <c r="K49" s="41" cm="1">
        <f t="array" ref="K49">_xlfn.IFS(J49="Высоконагруженная",Настройки!$B$6,J49="Средне-нагруженная",Настройки!$B$7,J49="Ненагруженная",Настройки!$B$8,J49="Гибкая",Настройки!$B$9)</f>
        <v>1.05</v>
      </c>
      <c r="L49" s="41" cm="1">
        <f t="array" ref="L49">_xlfn.IFS(J49="Высоконагруженная",Настройки!$C$6,J49="Средне-нагруженная",Настройки!$C$7,J49="Ненагруженная",Настройки!$C$8,J49="Гибкая",Настройки!$C$9)/1000</f>
        <v>1</v>
      </c>
      <c r="M49" s="51">
        <f t="shared" si="1"/>
        <v>0</v>
      </c>
      <c r="N49" s="51">
        <f t="shared" si="2"/>
        <v>0</v>
      </c>
      <c r="O49" s="51">
        <f t="shared" si="3"/>
        <v>9.4500000000000011</v>
      </c>
      <c r="P49" s="51">
        <f t="shared" si="4"/>
        <v>0</v>
      </c>
      <c r="Q49" s="52">
        <f t="shared" si="5"/>
        <v>9.4500000000000011</v>
      </c>
      <c r="R49" s="43"/>
    </row>
    <row r="50" spans="1:18" ht="15.95" customHeight="1" x14ac:dyDescent="0.25">
      <c r="A50" s="19" t="s">
        <v>227</v>
      </c>
      <c r="B50" s="19" t="s">
        <v>228</v>
      </c>
      <c r="C50" s="33">
        <v>1</v>
      </c>
      <c r="D50" s="33">
        <v>1</v>
      </c>
      <c r="E50" s="33">
        <v>1</v>
      </c>
      <c r="F50" s="33">
        <v>10</v>
      </c>
      <c r="G50" s="33">
        <v>1</v>
      </c>
      <c r="H50" s="33" cm="1">
        <f t="array" ref="H50">G50*_xlfn.IFS(Настройки!$B$2="M",'Печатные изд.'!C50,Настройки!$B$2="L",'Печатные изд.'!D50,Настройки!$B$2="XL",'Печатные изд.'!E50)</f>
        <v>1</v>
      </c>
      <c r="I50" s="41">
        <f t="shared" si="0"/>
        <v>10</v>
      </c>
      <c r="J50" s="33" t="s">
        <v>517</v>
      </c>
      <c r="K50" s="41" cm="1">
        <f t="array" ref="K50">_xlfn.IFS(J50="Высоконагруженная",Настройки!$B$6,J50="Средне-нагруженная",Настройки!$B$7,J50="Ненагруженная",Настройки!$B$8,J50="Гибкая",Настройки!$B$9)</f>
        <v>1.05</v>
      </c>
      <c r="L50" s="41" cm="1">
        <f t="array" ref="L50">_xlfn.IFS(J50="Высоконагруженная",Настройки!$C$6,J50="Средне-нагруженная",Настройки!$C$7,J50="Ненагруженная",Настройки!$C$8,J50="Гибкая",Настройки!$C$9)/1000</f>
        <v>1</v>
      </c>
      <c r="M50" s="51">
        <f t="shared" si="1"/>
        <v>0</v>
      </c>
      <c r="N50" s="51">
        <f t="shared" si="2"/>
        <v>0</v>
      </c>
      <c r="O50" s="51">
        <f t="shared" si="3"/>
        <v>10.5</v>
      </c>
      <c r="P50" s="51">
        <f t="shared" si="4"/>
        <v>0</v>
      </c>
      <c r="Q50" s="52">
        <f t="shared" si="5"/>
        <v>10.5</v>
      </c>
      <c r="R50" s="43"/>
    </row>
    <row r="51" spans="1:18" ht="15.95" customHeight="1" x14ac:dyDescent="0.25">
      <c r="A51" s="19" t="s">
        <v>229</v>
      </c>
      <c r="B51" s="19" t="s">
        <v>500</v>
      </c>
      <c r="C51" s="33">
        <v>2</v>
      </c>
      <c r="D51" s="33">
        <v>4</v>
      </c>
      <c r="E51" s="33">
        <v>4</v>
      </c>
      <c r="F51" s="33">
        <v>5</v>
      </c>
      <c r="G51" s="33">
        <v>1</v>
      </c>
      <c r="H51" s="33" cm="1">
        <f t="array" ref="H51">G51*_xlfn.IFS(Настройки!$B$2="M",'Печатные изд.'!C51,Настройки!$B$2="L",'Печатные изд.'!D51,Настройки!$B$2="XL",'Печатные изд.'!E51)</f>
        <v>2</v>
      </c>
      <c r="I51" s="41">
        <f t="shared" si="0"/>
        <v>10</v>
      </c>
      <c r="J51" s="33" t="s">
        <v>517</v>
      </c>
      <c r="K51" s="41" cm="1">
        <f t="array" ref="K51">_xlfn.IFS(J51="Высоконагруженная",Настройки!$B$6,J51="Средне-нагруженная",Настройки!$B$7,J51="Ненагруженная",Настройки!$B$8,J51="Гибкая",Настройки!$B$9)</f>
        <v>1.05</v>
      </c>
      <c r="L51" s="41" cm="1">
        <f t="array" ref="L51">_xlfn.IFS(J51="Высоконагруженная",Настройки!$C$6,J51="Средне-нагруженная",Настройки!$C$7,J51="Ненагруженная",Настройки!$C$8,J51="Гибкая",Настройки!$C$9)/1000</f>
        <v>1</v>
      </c>
      <c r="M51" s="51">
        <f t="shared" si="1"/>
        <v>0</v>
      </c>
      <c r="N51" s="51">
        <f t="shared" si="2"/>
        <v>0</v>
      </c>
      <c r="O51" s="51">
        <f t="shared" si="3"/>
        <v>10.5</v>
      </c>
      <c r="P51" s="51">
        <f t="shared" si="4"/>
        <v>0</v>
      </c>
      <c r="Q51" s="52">
        <f t="shared" si="5"/>
        <v>10.5</v>
      </c>
      <c r="R51" s="43"/>
    </row>
    <row r="52" spans="1:18" ht="15.95" customHeight="1" x14ac:dyDescent="0.25">
      <c r="A52" s="19" t="s">
        <v>501</v>
      </c>
      <c r="B52" s="19" t="s">
        <v>502</v>
      </c>
      <c r="C52" s="33">
        <v>2</v>
      </c>
      <c r="D52" s="33">
        <v>4</v>
      </c>
      <c r="E52" s="33">
        <v>4</v>
      </c>
      <c r="F52" s="33">
        <v>100</v>
      </c>
      <c r="G52" s="33">
        <v>1</v>
      </c>
      <c r="H52" s="33" cm="1">
        <f t="array" ref="H52">G52*_xlfn.IFS(Настройки!$B$2="M",'Печатные изд.'!C52,Настройки!$B$2="L",'Печатные изд.'!D52,Настройки!$B$2="XL",'Печатные изд.'!E52)</f>
        <v>2</v>
      </c>
      <c r="I52" s="41">
        <f t="shared" si="0"/>
        <v>200</v>
      </c>
      <c r="J52" s="33" t="s">
        <v>516</v>
      </c>
      <c r="K52" s="41" cm="1">
        <f t="array" ref="K52">_xlfn.IFS(J52="Высоконагруженная",Настройки!$B$6,J52="Средне-нагруженная",Настройки!$B$7,J52="Ненагруженная",Настройки!$B$8,J52="Гибкая",Настройки!$B$9)</f>
        <v>1.1499999999999999</v>
      </c>
      <c r="L52" s="41" cm="1">
        <f t="array" ref="L52">_xlfn.IFS(J52="Высоконагруженная",Настройки!$C$6,J52="Средне-нагруженная",Настройки!$C$7,J52="Ненагруженная",Настройки!$C$8,J52="Гибкая",Настройки!$C$9)/1000</f>
        <v>2</v>
      </c>
      <c r="M52" s="51">
        <f t="shared" si="1"/>
        <v>0</v>
      </c>
      <c r="N52" s="51">
        <f t="shared" si="2"/>
        <v>229.99999999999997</v>
      </c>
      <c r="O52" s="51">
        <f t="shared" si="3"/>
        <v>0</v>
      </c>
      <c r="P52" s="51">
        <f t="shared" si="4"/>
        <v>0</v>
      </c>
      <c r="Q52" s="52">
        <f t="shared" si="5"/>
        <v>459.99999999999994</v>
      </c>
      <c r="R52" s="43"/>
    </row>
    <row r="53" spans="1:18" ht="15.95" customHeight="1" x14ac:dyDescent="0.25">
      <c r="A53" s="19" t="s">
        <v>230</v>
      </c>
      <c r="B53" s="19" t="s">
        <v>231</v>
      </c>
      <c r="C53" s="33">
        <v>2</v>
      </c>
      <c r="D53" s="33">
        <v>2</v>
      </c>
      <c r="E53" s="33">
        <v>2</v>
      </c>
      <c r="F53" s="33">
        <v>6</v>
      </c>
      <c r="G53" s="33">
        <v>1</v>
      </c>
      <c r="H53" s="33" cm="1">
        <f t="array" ref="H53">G53*_xlfn.IFS(Настройки!$B$2="M",'Печатные изд.'!C53,Настройки!$B$2="L",'Печатные изд.'!D53,Настройки!$B$2="XL",'Печатные изд.'!E53)</f>
        <v>2</v>
      </c>
      <c r="I53" s="41">
        <f t="shared" si="0"/>
        <v>12</v>
      </c>
      <c r="J53" s="33" t="s">
        <v>517</v>
      </c>
      <c r="K53" s="41" cm="1">
        <f t="array" ref="K53">_xlfn.IFS(J53="Высоконагруженная",Настройки!$B$6,J53="Средне-нагруженная",Настройки!$B$7,J53="Ненагруженная",Настройки!$B$8,J53="Гибкая",Настройки!$B$9)</f>
        <v>1.05</v>
      </c>
      <c r="L53" s="41" cm="1">
        <f t="array" ref="L53">_xlfn.IFS(J53="Высоконагруженная",Настройки!$C$6,J53="Средне-нагруженная",Настройки!$C$7,J53="Ненагруженная",Настройки!$C$8,J53="Гибкая",Настройки!$C$9)/1000</f>
        <v>1</v>
      </c>
      <c r="M53" s="51">
        <f t="shared" si="1"/>
        <v>0</v>
      </c>
      <c r="N53" s="51">
        <f t="shared" si="2"/>
        <v>0</v>
      </c>
      <c r="O53" s="51">
        <f t="shared" si="3"/>
        <v>12.600000000000001</v>
      </c>
      <c r="P53" s="51">
        <f t="shared" si="4"/>
        <v>0</v>
      </c>
      <c r="Q53" s="52">
        <f t="shared" si="5"/>
        <v>12.600000000000001</v>
      </c>
      <c r="R53" s="43"/>
    </row>
    <row r="54" spans="1:18" ht="15.95" customHeight="1" x14ac:dyDescent="0.25">
      <c r="A54" s="19" t="s">
        <v>232</v>
      </c>
      <c r="B54" s="19" t="s">
        <v>231</v>
      </c>
      <c r="C54" s="33">
        <v>2</v>
      </c>
      <c r="D54" s="33">
        <v>2</v>
      </c>
      <c r="E54" s="33">
        <v>2</v>
      </c>
      <c r="F54" s="33">
        <v>6</v>
      </c>
      <c r="G54" s="33">
        <v>1</v>
      </c>
      <c r="H54" s="33" cm="1">
        <f t="array" ref="H54">G54*_xlfn.IFS(Настройки!$B$2="M",'Печатные изд.'!C54,Настройки!$B$2="L",'Печатные изд.'!D54,Настройки!$B$2="XL",'Печатные изд.'!E54)</f>
        <v>2</v>
      </c>
      <c r="I54" s="41">
        <f t="shared" si="0"/>
        <v>12</v>
      </c>
      <c r="J54" s="33" t="s">
        <v>517</v>
      </c>
      <c r="K54" s="41" cm="1">
        <f t="array" ref="K54">_xlfn.IFS(J54="Высоконагруженная",Настройки!$B$6,J54="Средне-нагруженная",Настройки!$B$7,J54="Ненагруженная",Настройки!$B$8,J54="Гибкая",Настройки!$B$9)</f>
        <v>1.05</v>
      </c>
      <c r="L54" s="41" cm="1">
        <f t="array" ref="L54">_xlfn.IFS(J54="Высоконагруженная",Настройки!$C$6,J54="Средне-нагруженная",Настройки!$C$7,J54="Ненагруженная",Настройки!$C$8,J54="Гибкая",Настройки!$C$9)/1000</f>
        <v>1</v>
      </c>
      <c r="M54" s="51">
        <f t="shared" si="1"/>
        <v>0</v>
      </c>
      <c r="N54" s="51">
        <f t="shared" si="2"/>
        <v>0</v>
      </c>
      <c r="O54" s="51">
        <f t="shared" si="3"/>
        <v>12.600000000000001</v>
      </c>
      <c r="P54" s="51">
        <f t="shared" si="4"/>
        <v>0</v>
      </c>
      <c r="Q54" s="52">
        <f t="shared" si="5"/>
        <v>12.600000000000001</v>
      </c>
      <c r="R54" s="43"/>
    </row>
    <row r="55" spans="1:18" ht="15.95" customHeight="1" x14ac:dyDescent="0.25">
      <c r="A55" s="19" t="s">
        <v>233</v>
      </c>
      <c r="B55" s="19" t="s">
        <v>234</v>
      </c>
      <c r="C55" s="33">
        <v>2</v>
      </c>
      <c r="D55" s="33">
        <v>2</v>
      </c>
      <c r="E55" s="33">
        <v>2</v>
      </c>
      <c r="F55" s="33">
        <v>4</v>
      </c>
      <c r="G55" s="33">
        <v>1</v>
      </c>
      <c r="H55" s="33" cm="1">
        <f t="array" ref="H55">G55*_xlfn.IFS(Настройки!$B$2="M",'Печатные изд.'!C55,Настройки!$B$2="L",'Печатные изд.'!D55,Настройки!$B$2="XL",'Печатные изд.'!E55)</f>
        <v>2</v>
      </c>
      <c r="I55" s="41">
        <f t="shared" ref="I55:I115" si="6">F55*H55</f>
        <v>8</v>
      </c>
      <c r="J55" s="33" t="s">
        <v>517</v>
      </c>
      <c r="K55" s="41" cm="1">
        <f t="array" ref="K55">_xlfn.IFS(J55="Высоконагруженная",Настройки!$B$6,J55="Средне-нагруженная",Настройки!$B$7,J55="Ненагруженная",Настройки!$B$8,J55="Гибкая",Настройки!$B$9)</f>
        <v>1.05</v>
      </c>
      <c r="L55" s="41" cm="1">
        <f t="array" ref="L55">_xlfn.IFS(J55="Высоконагруженная",Настройки!$C$6,J55="Средне-нагруженная",Настройки!$C$7,J55="Ненагруженная",Настройки!$C$8,J55="Гибкая",Настройки!$C$9)/1000</f>
        <v>1</v>
      </c>
      <c r="M55" s="51">
        <f t="shared" si="1"/>
        <v>0</v>
      </c>
      <c r="N55" s="51">
        <f t="shared" si="2"/>
        <v>0</v>
      </c>
      <c r="O55" s="51">
        <f t="shared" si="3"/>
        <v>8.4</v>
      </c>
      <c r="P55" s="51">
        <f t="shared" si="4"/>
        <v>0</v>
      </c>
      <c r="Q55" s="52">
        <f t="shared" ref="Q55:Q115" si="7">SUM(M55:P55)*L55</f>
        <v>8.4</v>
      </c>
      <c r="R55" s="43"/>
    </row>
    <row r="56" spans="1:18" ht="15.95" customHeight="1" x14ac:dyDescent="0.25">
      <c r="A56" s="19" t="s">
        <v>235</v>
      </c>
      <c r="B56" s="19" t="s">
        <v>234</v>
      </c>
      <c r="C56" s="33">
        <v>2</v>
      </c>
      <c r="D56" s="33">
        <v>2</v>
      </c>
      <c r="E56" s="33">
        <v>2</v>
      </c>
      <c r="F56" s="33">
        <v>4</v>
      </c>
      <c r="G56" s="33">
        <v>1</v>
      </c>
      <c r="H56" s="33" cm="1">
        <f t="array" ref="H56">G56*_xlfn.IFS(Настройки!$B$2="M",'Печатные изд.'!C56,Настройки!$B$2="L",'Печатные изд.'!D56,Настройки!$B$2="XL",'Печатные изд.'!E56)</f>
        <v>2</v>
      </c>
      <c r="I56" s="41">
        <f t="shared" si="6"/>
        <v>8</v>
      </c>
      <c r="J56" s="33" t="s">
        <v>517</v>
      </c>
      <c r="K56" s="41" cm="1">
        <f t="array" ref="K56">_xlfn.IFS(J56="Высоконагруженная",Настройки!$B$6,J56="Средне-нагруженная",Настройки!$B$7,J56="Ненагруженная",Настройки!$B$8,J56="Гибкая",Настройки!$B$9)</f>
        <v>1.05</v>
      </c>
      <c r="L56" s="41" cm="1">
        <f t="array" ref="L56">_xlfn.IFS(J56="Высоконагруженная",Настройки!$C$6,J56="Средне-нагруженная",Настройки!$C$7,J56="Ненагруженная",Настройки!$C$8,J56="Гибкая",Настройки!$C$9)/1000</f>
        <v>1</v>
      </c>
      <c r="M56" s="51">
        <f t="shared" si="1"/>
        <v>0</v>
      </c>
      <c r="N56" s="51">
        <f t="shared" si="2"/>
        <v>0</v>
      </c>
      <c r="O56" s="51">
        <f t="shared" si="3"/>
        <v>8.4</v>
      </c>
      <c r="P56" s="51">
        <f t="shared" si="4"/>
        <v>0</v>
      </c>
      <c r="Q56" s="52">
        <f t="shared" si="7"/>
        <v>8.4</v>
      </c>
      <c r="R56" s="43"/>
    </row>
    <row r="57" spans="1:18" ht="15.95" customHeight="1" x14ac:dyDescent="0.25">
      <c r="A57" s="19" t="s">
        <v>236</v>
      </c>
      <c r="B57" s="19" t="s">
        <v>237</v>
      </c>
      <c r="C57" s="33">
        <v>1</v>
      </c>
      <c r="D57" s="33">
        <v>1</v>
      </c>
      <c r="E57" s="33">
        <v>1</v>
      </c>
      <c r="F57" s="33">
        <v>5</v>
      </c>
      <c r="G57" s="33">
        <v>1</v>
      </c>
      <c r="H57" s="33" cm="1">
        <f t="array" ref="H57">G57*_xlfn.IFS(Настройки!$B$2="M",'Печатные изд.'!C57,Настройки!$B$2="L",'Печатные изд.'!D57,Настройки!$B$2="XL",'Печатные изд.'!E57)</f>
        <v>1</v>
      </c>
      <c r="I57" s="41">
        <f t="shared" si="6"/>
        <v>5</v>
      </c>
      <c r="J57" s="33" t="s">
        <v>517</v>
      </c>
      <c r="K57" s="41" cm="1">
        <f t="array" ref="K57">_xlfn.IFS(J57="Высоконагруженная",Настройки!$B$6,J57="Средне-нагруженная",Настройки!$B$7,J57="Ненагруженная",Настройки!$B$8,J57="Гибкая",Настройки!$B$9)</f>
        <v>1.05</v>
      </c>
      <c r="L57" s="41" cm="1">
        <f t="array" ref="L57">_xlfn.IFS(J57="Высоконагруженная",Настройки!$C$6,J57="Средне-нагруженная",Настройки!$C$7,J57="Ненагруженная",Настройки!$C$8,J57="Гибкая",Настройки!$C$9)/1000</f>
        <v>1</v>
      </c>
      <c r="M57" s="51">
        <f t="shared" si="1"/>
        <v>0</v>
      </c>
      <c r="N57" s="51">
        <f t="shared" si="2"/>
        <v>0</v>
      </c>
      <c r="O57" s="51">
        <f t="shared" si="3"/>
        <v>5.25</v>
      </c>
      <c r="P57" s="51">
        <f t="shared" si="4"/>
        <v>0</v>
      </c>
      <c r="Q57" s="52">
        <f t="shared" si="7"/>
        <v>5.25</v>
      </c>
      <c r="R57" s="43"/>
    </row>
    <row r="58" spans="1:18" ht="15.95" customHeight="1" x14ac:dyDescent="0.25">
      <c r="A58" s="19" t="s">
        <v>238</v>
      </c>
      <c r="B58" s="19" t="s">
        <v>237</v>
      </c>
      <c r="C58" s="33">
        <v>1</v>
      </c>
      <c r="D58" s="33">
        <v>1</v>
      </c>
      <c r="E58" s="33">
        <v>1</v>
      </c>
      <c r="F58" s="33">
        <v>5</v>
      </c>
      <c r="G58" s="33">
        <v>1</v>
      </c>
      <c r="H58" s="33" cm="1">
        <f t="array" ref="H58">G58*_xlfn.IFS(Настройки!$B$2="M",'Печатные изд.'!C58,Настройки!$B$2="L",'Печатные изд.'!D58,Настройки!$B$2="XL",'Печатные изд.'!E58)</f>
        <v>1</v>
      </c>
      <c r="I58" s="41">
        <f t="shared" si="6"/>
        <v>5</v>
      </c>
      <c r="J58" s="33" t="s">
        <v>517</v>
      </c>
      <c r="K58" s="41" cm="1">
        <f t="array" ref="K58">_xlfn.IFS(J58="Высоконагруженная",Настройки!$B$6,J58="Средне-нагруженная",Настройки!$B$7,J58="Ненагруженная",Настройки!$B$8,J58="Гибкая",Настройки!$B$9)</f>
        <v>1.05</v>
      </c>
      <c r="L58" s="41" cm="1">
        <f t="array" ref="L58">_xlfn.IFS(J58="Высоконагруженная",Настройки!$C$6,J58="Средне-нагруженная",Настройки!$C$7,J58="Ненагруженная",Настройки!$C$8,J58="Гибкая",Настройки!$C$9)/1000</f>
        <v>1</v>
      </c>
      <c r="M58" s="51">
        <f t="shared" si="1"/>
        <v>0</v>
      </c>
      <c r="N58" s="51">
        <f t="shared" si="2"/>
        <v>0</v>
      </c>
      <c r="O58" s="51">
        <f t="shared" si="3"/>
        <v>5.25</v>
      </c>
      <c r="P58" s="51">
        <f t="shared" si="4"/>
        <v>0</v>
      </c>
      <c r="Q58" s="52">
        <f t="shared" si="7"/>
        <v>5.25</v>
      </c>
      <c r="R58" s="43"/>
    </row>
    <row r="59" spans="1:18" ht="15.95" customHeight="1" x14ac:dyDescent="0.25">
      <c r="A59" s="19" t="s">
        <v>239</v>
      </c>
      <c r="B59" s="19" t="s">
        <v>240</v>
      </c>
      <c r="C59" s="33">
        <v>1</v>
      </c>
      <c r="D59" s="33">
        <v>1</v>
      </c>
      <c r="E59" s="33">
        <v>1</v>
      </c>
      <c r="F59" s="33">
        <v>106</v>
      </c>
      <c r="G59" s="33">
        <v>1</v>
      </c>
      <c r="H59" s="33" cm="1">
        <f t="array" ref="H59">G59*_xlfn.IFS(Настройки!$B$2="M",'Печатные изд.'!C59,Настройки!$B$2="L",'Печатные изд.'!D59,Настройки!$B$2="XL",'Печатные изд.'!E59)</f>
        <v>1</v>
      </c>
      <c r="I59" s="41">
        <f t="shared" si="6"/>
        <v>106</v>
      </c>
      <c r="J59" s="33" t="s">
        <v>517</v>
      </c>
      <c r="K59" s="41" cm="1">
        <f t="array" ref="K59">_xlfn.IFS(J59="Высоконагруженная",Настройки!$B$6,J59="Средне-нагруженная",Настройки!$B$7,J59="Ненагруженная",Настройки!$B$8,J59="Гибкая",Настройки!$B$9)</f>
        <v>1.05</v>
      </c>
      <c r="L59" s="41" cm="1">
        <f t="array" ref="L59">_xlfn.IFS(J59="Высоконагруженная",Настройки!$C$6,J59="Средне-нагруженная",Настройки!$C$7,J59="Ненагруженная",Настройки!$C$8,J59="Гибкая",Настройки!$C$9)/1000</f>
        <v>1</v>
      </c>
      <c r="M59" s="51">
        <f t="shared" si="1"/>
        <v>0</v>
      </c>
      <c r="N59" s="51">
        <f t="shared" si="2"/>
        <v>0</v>
      </c>
      <c r="O59" s="51">
        <f t="shared" si="3"/>
        <v>111.30000000000001</v>
      </c>
      <c r="P59" s="51">
        <f t="shared" si="4"/>
        <v>0</v>
      </c>
      <c r="Q59" s="52">
        <f t="shared" si="7"/>
        <v>111.30000000000001</v>
      </c>
      <c r="R59" s="43"/>
    </row>
    <row r="60" spans="1:18" ht="15.95" customHeight="1" x14ac:dyDescent="0.25">
      <c r="A60" s="19" t="s">
        <v>241</v>
      </c>
      <c r="B60" s="19" t="s">
        <v>242</v>
      </c>
      <c r="C60" s="33">
        <v>1</v>
      </c>
      <c r="D60" s="33">
        <v>1</v>
      </c>
      <c r="E60" s="33">
        <v>1</v>
      </c>
      <c r="F60" s="33">
        <v>2</v>
      </c>
      <c r="G60" s="33">
        <v>1</v>
      </c>
      <c r="H60" s="33" cm="1">
        <f t="array" ref="H60">G60*_xlfn.IFS(Настройки!$B$2="M",'Печатные изд.'!C60,Настройки!$B$2="L",'Печатные изд.'!D60,Настройки!$B$2="XL",'Печатные изд.'!E60)</f>
        <v>1</v>
      </c>
      <c r="I60" s="41">
        <f t="shared" si="6"/>
        <v>2</v>
      </c>
      <c r="J60" s="33" t="s">
        <v>517</v>
      </c>
      <c r="K60" s="41" cm="1">
        <f t="array" ref="K60">_xlfn.IFS(J60="Высоконагруженная",Настройки!$B$6,J60="Средне-нагруженная",Настройки!$B$7,J60="Ненагруженная",Настройки!$B$8,J60="Гибкая",Настройки!$B$9)</f>
        <v>1.05</v>
      </c>
      <c r="L60" s="41" cm="1">
        <f t="array" ref="L60">_xlfn.IFS(J60="Высоконагруженная",Настройки!$C$6,J60="Средне-нагруженная",Настройки!$C$7,J60="Ненагруженная",Настройки!$C$8,J60="Гибкая",Настройки!$C$9)/1000</f>
        <v>1</v>
      </c>
      <c r="M60" s="51">
        <f t="shared" si="1"/>
        <v>0</v>
      </c>
      <c r="N60" s="51">
        <f t="shared" si="2"/>
        <v>0</v>
      </c>
      <c r="O60" s="51">
        <f t="shared" si="3"/>
        <v>2.1</v>
      </c>
      <c r="P60" s="51">
        <f t="shared" si="4"/>
        <v>0</v>
      </c>
      <c r="Q60" s="52">
        <f t="shared" si="7"/>
        <v>2.1</v>
      </c>
      <c r="R60" s="43"/>
    </row>
    <row r="61" spans="1:18" ht="15.95" customHeight="1" x14ac:dyDescent="0.25">
      <c r="A61" s="19" t="s">
        <v>243</v>
      </c>
      <c r="B61" s="19" t="s">
        <v>244</v>
      </c>
      <c r="C61" s="33">
        <v>2</v>
      </c>
      <c r="D61" s="33">
        <v>2</v>
      </c>
      <c r="E61" s="33">
        <v>2</v>
      </c>
      <c r="F61" s="33">
        <v>3</v>
      </c>
      <c r="G61" s="33">
        <v>1</v>
      </c>
      <c r="H61" s="33" cm="1">
        <f t="array" ref="H61">G61*_xlfn.IFS(Настройки!$B$2="M",'Печатные изд.'!C61,Настройки!$B$2="L",'Печатные изд.'!D61,Настройки!$B$2="XL",'Печатные изд.'!E61)</f>
        <v>2</v>
      </c>
      <c r="I61" s="41">
        <f t="shared" si="6"/>
        <v>6</v>
      </c>
      <c r="J61" s="33" t="s">
        <v>517</v>
      </c>
      <c r="K61" s="41" cm="1">
        <f t="array" ref="K61">_xlfn.IFS(J61="Высоконагруженная",Настройки!$B$6,J61="Средне-нагруженная",Настройки!$B$7,J61="Ненагруженная",Настройки!$B$8,J61="Гибкая",Настройки!$B$9)</f>
        <v>1.05</v>
      </c>
      <c r="L61" s="41" cm="1">
        <f t="array" ref="L61">_xlfn.IFS(J61="Высоконагруженная",Настройки!$C$6,J61="Средне-нагруженная",Настройки!$C$7,J61="Ненагруженная",Настройки!$C$8,J61="Гибкая",Настройки!$C$9)/1000</f>
        <v>1</v>
      </c>
      <c r="M61" s="51">
        <f t="shared" si="1"/>
        <v>0</v>
      </c>
      <c r="N61" s="51">
        <f t="shared" si="2"/>
        <v>0</v>
      </c>
      <c r="O61" s="51">
        <f t="shared" si="3"/>
        <v>6.3000000000000007</v>
      </c>
      <c r="P61" s="51">
        <f t="shared" si="4"/>
        <v>0</v>
      </c>
      <c r="Q61" s="52">
        <f t="shared" si="7"/>
        <v>6.3000000000000007</v>
      </c>
      <c r="R61" s="43"/>
    </row>
    <row r="62" spans="1:18" ht="15.95" customHeight="1" x14ac:dyDescent="0.25">
      <c r="A62" s="19" t="s">
        <v>245</v>
      </c>
      <c r="B62" s="19" t="s">
        <v>246</v>
      </c>
      <c r="C62" s="33">
        <v>2</v>
      </c>
      <c r="D62" s="33">
        <v>2</v>
      </c>
      <c r="E62" s="33">
        <v>2</v>
      </c>
      <c r="F62" s="33">
        <v>2</v>
      </c>
      <c r="G62" s="33">
        <v>1</v>
      </c>
      <c r="H62" s="33" cm="1">
        <f t="array" ref="H62">G62*_xlfn.IFS(Настройки!$B$2="M",'Печатные изд.'!C62,Настройки!$B$2="L",'Печатные изд.'!D62,Настройки!$B$2="XL",'Печатные изд.'!E62)</f>
        <v>2</v>
      </c>
      <c r="I62" s="41">
        <f t="shared" si="6"/>
        <v>4</v>
      </c>
      <c r="J62" s="33" t="s">
        <v>517</v>
      </c>
      <c r="K62" s="41" cm="1">
        <f t="array" ref="K62">_xlfn.IFS(J62="Высоконагруженная",Настройки!$B$6,J62="Средне-нагруженная",Настройки!$B$7,J62="Ненагруженная",Настройки!$B$8,J62="Гибкая",Настройки!$B$9)</f>
        <v>1.05</v>
      </c>
      <c r="L62" s="41" cm="1">
        <f t="array" ref="L62">_xlfn.IFS(J62="Высоконагруженная",Настройки!$C$6,J62="Средне-нагруженная",Настройки!$C$7,J62="Ненагруженная",Настройки!$C$8,J62="Гибкая",Настройки!$C$9)/1000</f>
        <v>1</v>
      </c>
      <c r="M62" s="51">
        <f t="shared" si="1"/>
        <v>0</v>
      </c>
      <c r="N62" s="51">
        <f t="shared" si="2"/>
        <v>0</v>
      </c>
      <c r="O62" s="51">
        <f t="shared" si="3"/>
        <v>4.2</v>
      </c>
      <c r="P62" s="51">
        <f t="shared" si="4"/>
        <v>0</v>
      </c>
      <c r="Q62" s="52">
        <f t="shared" si="7"/>
        <v>4.2</v>
      </c>
      <c r="R62" s="43"/>
    </row>
    <row r="63" spans="1:18" ht="15.95" customHeight="1" x14ac:dyDescent="0.25">
      <c r="A63" s="19" t="s">
        <v>247</v>
      </c>
      <c r="B63" s="19" t="s">
        <v>248</v>
      </c>
      <c r="C63" s="33">
        <v>1</v>
      </c>
      <c r="D63" s="33">
        <v>1</v>
      </c>
      <c r="E63" s="33">
        <v>1</v>
      </c>
      <c r="F63" s="33">
        <v>49</v>
      </c>
      <c r="G63" s="33">
        <v>1</v>
      </c>
      <c r="H63" s="33" cm="1">
        <f t="array" ref="H63">G63*_xlfn.IFS(Настройки!$B$2="M",'Печатные изд.'!C63,Настройки!$B$2="L",'Печатные изд.'!D63,Настройки!$B$2="XL",'Печатные изд.'!E63)</f>
        <v>1</v>
      </c>
      <c r="I63" s="41">
        <f t="shared" si="6"/>
        <v>49</v>
      </c>
      <c r="J63" s="33" t="s">
        <v>517</v>
      </c>
      <c r="K63" s="41" cm="1">
        <f t="array" ref="K63">_xlfn.IFS(J63="Высоконагруженная",Настройки!$B$6,J63="Средне-нагруженная",Настройки!$B$7,J63="Ненагруженная",Настройки!$B$8,J63="Гибкая",Настройки!$B$9)</f>
        <v>1.05</v>
      </c>
      <c r="L63" s="41" cm="1">
        <f t="array" ref="L63">_xlfn.IFS(J63="Высоконагруженная",Настройки!$C$6,J63="Средне-нагруженная",Настройки!$C$7,J63="Ненагруженная",Настройки!$C$8,J63="Гибкая",Настройки!$C$9)/1000</f>
        <v>1</v>
      </c>
      <c r="M63" s="51">
        <f t="shared" si="1"/>
        <v>0</v>
      </c>
      <c r="N63" s="51">
        <f t="shared" si="2"/>
        <v>0</v>
      </c>
      <c r="O63" s="51">
        <f t="shared" si="3"/>
        <v>51.45</v>
      </c>
      <c r="P63" s="51">
        <f t="shared" si="4"/>
        <v>0</v>
      </c>
      <c r="Q63" s="52">
        <f t="shared" si="7"/>
        <v>51.45</v>
      </c>
      <c r="R63" s="43"/>
    </row>
    <row r="64" spans="1:18" ht="15.95" customHeight="1" x14ac:dyDescent="0.25">
      <c r="A64" s="19" t="s">
        <v>249</v>
      </c>
      <c r="B64" s="19" t="s">
        <v>250</v>
      </c>
      <c r="C64" s="33">
        <v>1</v>
      </c>
      <c r="D64" s="33">
        <v>1</v>
      </c>
      <c r="E64" s="33">
        <v>0</v>
      </c>
      <c r="F64" s="33">
        <v>24</v>
      </c>
      <c r="G64" s="33">
        <v>1</v>
      </c>
      <c r="H64" s="33" cm="1">
        <f t="array" ref="H64">G64*_xlfn.IFS(Настройки!$B$2="M",'Печатные изд.'!C64,Настройки!$B$2="L",'Печатные изд.'!D64,Настройки!$B$2="XL",'Печатные изд.'!E64)</f>
        <v>1</v>
      </c>
      <c r="I64" s="41">
        <f t="shared" si="6"/>
        <v>24</v>
      </c>
      <c r="J64" s="33" t="s">
        <v>517</v>
      </c>
      <c r="K64" s="41" cm="1">
        <f t="array" ref="K64">_xlfn.IFS(J64="Высоконагруженная",Настройки!$B$6,J64="Средне-нагруженная",Настройки!$B$7,J64="Ненагруженная",Настройки!$B$8,J64="Гибкая",Настройки!$B$9)</f>
        <v>1.05</v>
      </c>
      <c r="L64" s="41" cm="1">
        <f t="array" ref="L64">_xlfn.IFS(J64="Высоконагруженная",Настройки!$C$6,J64="Средне-нагруженная",Настройки!$C$7,J64="Ненагруженная",Настройки!$C$8,J64="Гибкая",Настройки!$C$9)/1000</f>
        <v>1</v>
      </c>
      <c r="M64" s="51">
        <f t="shared" si="1"/>
        <v>0</v>
      </c>
      <c r="N64" s="51">
        <f t="shared" si="2"/>
        <v>0</v>
      </c>
      <c r="O64" s="51">
        <f t="shared" si="3"/>
        <v>25.200000000000003</v>
      </c>
      <c r="P64" s="51">
        <f t="shared" si="4"/>
        <v>0</v>
      </c>
      <c r="Q64" s="52">
        <f t="shared" si="7"/>
        <v>25.200000000000003</v>
      </c>
      <c r="R64" s="43"/>
    </row>
    <row r="65" spans="1:18" ht="15.95" customHeight="1" x14ac:dyDescent="0.25">
      <c r="A65" s="19" t="s">
        <v>251</v>
      </c>
      <c r="B65" s="19" t="s">
        <v>250</v>
      </c>
      <c r="C65" s="33">
        <v>1</v>
      </c>
      <c r="D65" s="33">
        <v>1</v>
      </c>
      <c r="E65" s="33">
        <v>0</v>
      </c>
      <c r="F65" s="33">
        <v>24</v>
      </c>
      <c r="G65" s="33">
        <v>1</v>
      </c>
      <c r="H65" s="33" cm="1">
        <f t="array" ref="H65">G65*_xlfn.IFS(Настройки!$B$2="M",'Печатные изд.'!C65,Настройки!$B$2="L",'Печатные изд.'!D65,Настройки!$B$2="XL",'Печатные изд.'!E65)</f>
        <v>1</v>
      </c>
      <c r="I65" s="41">
        <f t="shared" si="6"/>
        <v>24</v>
      </c>
      <c r="J65" s="33" t="s">
        <v>517</v>
      </c>
      <c r="K65" s="41" cm="1">
        <f t="array" ref="K65">_xlfn.IFS(J65="Высоконагруженная",Настройки!$B$6,J65="Средне-нагруженная",Настройки!$B$7,J65="Ненагруженная",Настройки!$B$8,J65="Гибкая",Настройки!$B$9)</f>
        <v>1.05</v>
      </c>
      <c r="L65" s="41" cm="1">
        <f t="array" ref="L65">_xlfn.IFS(J65="Высоконагруженная",Настройки!$C$6,J65="Средне-нагруженная",Настройки!$C$7,J65="Ненагруженная",Настройки!$C$8,J65="Гибкая",Настройки!$C$9)/1000</f>
        <v>1</v>
      </c>
      <c r="M65" s="51">
        <f t="shared" si="1"/>
        <v>0</v>
      </c>
      <c r="N65" s="51">
        <f t="shared" si="2"/>
        <v>0</v>
      </c>
      <c r="O65" s="51">
        <f t="shared" si="3"/>
        <v>25.200000000000003</v>
      </c>
      <c r="P65" s="51">
        <f t="shared" si="4"/>
        <v>0</v>
      </c>
      <c r="Q65" s="52">
        <f t="shared" si="7"/>
        <v>25.200000000000003</v>
      </c>
      <c r="R65" s="43"/>
    </row>
    <row r="66" spans="1:18" ht="15.95" customHeight="1" x14ac:dyDescent="0.25">
      <c r="A66" s="19" t="s">
        <v>252</v>
      </c>
      <c r="B66" s="19" t="s">
        <v>250</v>
      </c>
      <c r="C66" s="33">
        <v>0</v>
      </c>
      <c r="D66" s="33">
        <v>0</v>
      </c>
      <c r="E66" s="33">
        <v>1</v>
      </c>
      <c r="F66" s="33">
        <v>30</v>
      </c>
      <c r="G66" s="33">
        <v>1</v>
      </c>
      <c r="H66" s="33" cm="1">
        <f t="array" ref="H66">G66*_xlfn.IFS(Настройки!$B$2="M",'Печатные изд.'!C66,Настройки!$B$2="L",'Печатные изд.'!D66,Настройки!$B$2="XL",'Печатные изд.'!E66)</f>
        <v>0</v>
      </c>
      <c r="I66" s="41">
        <f t="shared" si="6"/>
        <v>0</v>
      </c>
      <c r="J66" s="33" t="s">
        <v>517</v>
      </c>
      <c r="K66" s="41" cm="1">
        <f t="array" ref="K66">_xlfn.IFS(J66="Высоконагруженная",Настройки!$B$6,J66="Средне-нагруженная",Настройки!$B$7,J66="Ненагруженная",Настройки!$B$8,J66="Гибкая",Настройки!$B$9)</f>
        <v>1.05</v>
      </c>
      <c r="L66" s="41" cm="1">
        <f t="array" ref="L66">_xlfn.IFS(J66="Высоконагруженная",Настройки!$C$6,J66="Средне-нагруженная",Настройки!$C$7,J66="Ненагруженная",Настройки!$C$8,J66="Гибкая",Настройки!$C$9)/1000</f>
        <v>1</v>
      </c>
      <c r="M66" s="51">
        <f t="shared" si="1"/>
        <v>0</v>
      </c>
      <c r="N66" s="51">
        <f t="shared" si="2"/>
        <v>0</v>
      </c>
      <c r="O66" s="51">
        <f t="shared" si="3"/>
        <v>0</v>
      </c>
      <c r="P66" s="51">
        <f t="shared" si="4"/>
        <v>0</v>
      </c>
      <c r="Q66" s="52">
        <f t="shared" si="7"/>
        <v>0</v>
      </c>
      <c r="R66" s="43"/>
    </row>
    <row r="67" spans="1:18" ht="15.95" customHeight="1" x14ac:dyDescent="0.25">
      <c r="A67" s="19" t="s">
        <v>253</v>
      </c>
      <c r="B67" s="19" t="s">
        <v>250</v>
      </c>
      <c r="C67" s="33">
        <v>0</v>
      </c>
      <c r="D67" s="33">
        <v>0</v>
      </c>
      <c r="E67" s="33">
        <v>1</v>
      </c>
      <c r="F67" s="33">
        <v>30</v>
      </c>
      <c r="G67" s="33">
        <v>1</v>
      </c>
      <c r="H67" s="33" cm="1">
        <f t="array" ref="H67">G67*_xlfn.IFS(Настройки!$B$2="M",'Печатные изд.'!C67,Настройки!$B$2="L",'Печатные изд.'!D67,Настройки!$B$2="XL",'Печатные изд.'!E67)</f>
        <v>0</v>
      </c>
      <c r="I67" s="41">
        <f t="shared" si="6"/>
        <v>0</v>
      </c>
      <c r="J67" s="33" t="s">
        <v>517</v>
      </c>
      <c r="K67" s="41" cm="1">
        <f t="array" ref="K67">_xlfn.IFS(J67="Высоконагруженная",Настройки!$B$6,J67="Средне-нагруженная",Настройки!$B$7,J67="Ненагруженная",Настройки!$B$8,J67="Гибкая",Настройки!$B$9)</f>
        <v>1.05</v>
      </c>
      <c r="L67" s="41" cm="1">
        <f t="array" ref="L67">_xlfn.IFS(J67="Высоконагруженная",Настройки!$C$6,J67="Средне-нагруженная",Настройки!$C$7,J67="Ненагруженная",Настройки!$C$8,J67="Гибкая",Настройки!$C$9)/1000</f>
        <v>1</v>
      </c>
      <c r="M67" s="51">
        <f t="shared" si="1"/>
        <v>0</v>
      </c>
      <c r="N67" s="51">
        <f t="shared" si="2"/>
        <v>0</v>
      </c>
      <c r="O67" s="51">
        <f t="shared" si="3"/>
        <v>0</v>
      </c>
      <c r="P67" s="51">
        <f t="shared" si="4"/>
        <v>0</v>
      </c>
      <c r="Q67" s="52">
        <f t="shared" si="7"/>
        <v>0</v>
      </c>
      <c r="R67" s="43"/>
    </row>
    <row r="68" spans="1:18" ht="15.95" customHeight="1" x14ac:dyDescent="0.25">
      <c r="A68" s="19" t="s">
        <v>254</v>
      </c>
      <c r="B68" s="19" t="s">
        <v>255</v>
      </c>
      <c r="C68" s="33">
        <v>1</v>
      </c>
      <c r="D68" s="33">
        <v>1</v>
      </c>
      <c r="E68" s="33">
        <v>1</v>
      </c>
      <c r="F68" s="33">
        <v>68</v>
      </c>
      <c r="G68" s="33">
        <v>1</v>
      </c>
      <c r="H68" s="33" cm="1">
        <f t="array" ref="H68">G68*_xlfn.IFS(Настройки!$B$2="M",'Печатные изд.'!C68,Настройки!$B$2="L",'Печатные изд.'!D68,Настройки!$B$2="XL",'Печатные изд.'!E68)</f>
        <v>1</v>
      </c>
      <c r="I68" s="41">
        <f t="shared" si="6"/>
        <v>68</v>
      </c>
      <c r="J68" s="33" t="s">
        <v>517</v>
      </c>
      <c r="K68" s="41" cm="1">
        <f t="array" ref="K68">_xlfn.IFS(J68="Высоконагруженная",Настройки!$B$6,J68="Средне-нагруженная",Настройки!$B$7,J68="Ненагруженная",Настройки!$B$8,J68="Гибкая",Настройки!$B$9)</f>
        <v>1.05</v>
      </c>
      <c r="L68" s="41" cm="1">
        <f t="array" ref="L68">_xlfn.IFS(J68="Высоконагруженная",Настройки!$C$6,J68="Средне-нагруженная",Настройки!$C$7,J68="Ненагруженная",Настройки!$C$8,J68="Гибкая",Настройки!$C$9)/1000</f>
        <v>1</v>
      </c>
      <c r="M68" s="51">
        <f t="shared" ref="M68:M122" si="8">IF(J68="Высоконагруженная",1,0)*G68*I68*K68</f>
        <v>0</v>
      </c>
      <c r="N68" s="51">
        <f t="shared" ref="N68:N122" si="9">IF(J68="Средне-нагруженная",1,0)*G68*I68*K68</f>
        <v>0</v>
      </c>
      <c r="O68" s="51">
        <f t="shared" ref="O68:O122" si="10">IF(J68="Ненагруженная",1,0)*G68*I68*K68</f>
        <v>71.400000000000006</v>
      </c>
      <c r="P68" s="51">
        <f t="shared" ref="P68:P122" si="11">IF(J68="Гибкая",1,0)*G68*I68*K68</f>
        <v>0</v>
      </c>
      <c r="Q68" s="52">
        <f t="shared" si="7"/>
        <v>71.400000000000006</v>
      </c>
      <c r="R68" s="43"/>
    </row>
    <row r="69" spans="1:18" ht="15.95" customHeight="1" x14ac:dyDescent="0.25">
      <c r="A69" s="19" t="s">
        <v>256</v>
      </c>
      <c r="B69" s="19" t="s">
        <v>257</v>
      </c>
      <c r="C69" s="33">
        <v>2</v>
      </c>
      <c r="D69" s="33">
        <v>2</v>
      </c>
      <c r="E69" s="33">
        <v>0</v>
      </c>
      <c r="F69" s="33">
        <v>39</v>
      </c>
      <c r="G69" s="33">
        <v>1</v>
      </c>
      <c r="H69" s="33" cm="1">
        <f t="array" ref="H69">G69*_xlfn.IFS(Настройки!$B$2="M",'Печатные изд.'!C69,Настройки!$B$2="L",'Печатные изд.'!D69,Настройки!$B$2="XL",'Печатные изд.'!E69)</f>
        <v>2</v>
      </c>
      <c r="I69" s="41">
        <f t="shared" si="6"/>
        <v>78</v>
      </c>
      <c r="J69" s="33" t="s">
        <v>517</v>
      </c>
      <c r="K69" s="41" cm="1">
        <f t="array" ref="K69">_xlfn.IFS(J69="Высоконагруженная",Настройки!$B$6,J69="Средне-нагруженная",Настройки!$B$7,J69="Ненагруженная",Настройки!$B$8,J69="Гибкая",Настройки!$B$9)</f>
        <v>1.05</v>
      </c>
      <c r="L69" s="41" cm="1">
        <f t="array" ref="L69">_xlfn.IFS(J69="Высоконагруженная",Настройки!$C$6,J69="Средне-нагруженная",Настройки!$C$7,J69="Ненагруженная",Настройки!$C$8,J69="Гибкая",Настройки!$C$9)/1000</f>
        <v>1</v>
      </c>
      <c r="M69" s="51">
        <f t="shared" si="8"/>
        <v>0</v>
      </c>
      <c r="N69" s="51">
        <f t="shared" si="9"/>
        <v>0</v>
      </c>
      <c r="O69" s="51">
        <f t="shared" si="10"/>
        <v>81.900000000000006</v>
      </c>
      <c r="P69" s="51">
        <f t="shared" si="11"/>
        <v>0</v>
      </c>
      <c r="Q69" s="52">
        <f t="shared" si="7"/>
        <v>81.900000000000006</v>
      </c>
      <c r="R69" s="43"/>
    </row>
    <row r="70" spans="1:18" ht="15.95" customHeight="1" x14ac:dyDescent="0.25">
      <c r="A70" s="19" t="s">
        <v>258</v>
      </c>
      <c r="B70" s="19" t="s">
        <v>257</v>
      </c>
      <c r="C70" s="33">
        <v>0</v>
      </c>
      <c r="D70" s="33">
        <v>0</v>
      </c>
      <c r="E70" s="33">
        <v>1</v>
      </c>
      <c r="F70" s="33">
        <v>56</v>
      </c>
      <c r="G70" s="33">
        <v>1</v>
      </c>
      <c r="H70" s="33" cm="1">
        <f t="array" ref="H70">G70*_xlfn.IFS(Настройки!$B$2="M",'Печатные изд.'!C70,Настройки!$B$2="L",'Печатные изд.'!D70,Настройки!$B$2="XL",'Печатные изд.'!E70)</f>
        <v>0</v>
      </c>
      <c r="I70" s="41">
        <f t="shared" si="6"/>
        <v>0</v>
      </c>
      <c r="J70" s="33" t="s">
        <v>517</v>
      </c>
      <c r="K70" s="41" cm="1">
        <f t="array" ref="K70">_xlfn.IFS(J70="Высоконагруженная",Настройки!$B$6,J70="Средне-нагруженная",Настройки!$B$7,J70="Ненагруженная",Настройки!$B$8,J70="Гибкая",Настройки!$B$9)</f>
        <v>1.05</v>
      </c>
      <c r="L70" s="41" cm="1">
        <f t="array" ref="L70">_xlfn.IFS(J70="Высоконагруженная",Настройки!$C$6,J70="Средне-нагруженная",Настройки!$C$7,J70="Ненагруженная",Настройки!$C$8,J70="Гибкая",Настройки!$C$9)/1000</f>
        <v>1</v>
      </c>
      <c r="M70" s="51">
        <f t="shared" si="8"/>
        <v>0</v>
      </c>
      <c r="N70" s="51">
        <f t="shared" si="9"/>
        <v>0</v>
      </c>
      <c r="O70" s="51">
        <f t="shared" si="10"/>
        <v>0</v>
      </c>
      <c r="P70" s="51">
        <f t="shared" si="11"/>
        <v>0</v>
      </c>
      <c r="Q70" s="52">
        <f t="shared" si="7"/>
        <v>0</v>
      </c>
      <c r="R70" s="43"/>
    </row>
    <row r="71" spans="1:18" ht="15.95" customHeight="1" x14ac:dyDescent="0.25">
      <c r="A71" s="19" t="s">
        <v>259</v>
      </c>
      <c r="B71" s="19" t="s">
        <v>260</v>
      </c>
      <c r="C71" s="33">
        <v>1</v>
      </c>
      <c r="D71" s="33">
        <v>1</v>
      </c>
      <c r="E71" s="33">
        <v>1</v>
      </c>
      <c r="F71" s="33">
        <v>26</v>
      </c>
      <c r="G71" s="33">
        <v>1</v>
      </c>
      <c r="H71" s="33" cm="1">
        <f t="array" ref="H71">G71*_xlfn.IFS(Настройки!$B$2="M",'Печатные изд.'!C71,Настройки!$B$2="L",'Печатные изд.'!D71,Настройки!$B$2="XL",'Печатные изд.'!E71)</f>
        <v>1</v>
      </c>
      <c r="I71" s="41">
        <f t="shared" si="6"/>
        <v>26</v>
      </c>
      <c r="J71" s="33" t="s">
        <v>517</v>
      </c>
      <c r="K71" s="41" cm="1">
        <f t="array" ref="K71">_xlfn.IFS(J71="Высоконагруженная",Настройки!$B$6,J71="Средне-нагруженная",Настройки!$B$7,J71="Ненагруженная",Настройки!$B$8,J71="Гибкая",Настройки!$B$9)</f>
        <v>1.05</v>
      </c>
      <c r="L71" s="41" cm="1">
        <f t="array" ref="L71">_xlfn.IFS(J71="Высоконагруженная",Настройки!$C$6,J71="Средне-нагруженная",Настройки!$C$7,J71="Ненагруженная",Настройки!$C$8,J71="Гибкая",Настройки!$C$9)/1000</f>
        <v>1</v>
      </c>
      <c r="M71" s="51">
        <f t="shared" si="8"/>
        <v>0</v>
      </c>
      <c r="N71" s="51">
        <f t="shared" si="9"/>
        <v>0</v>
      </c>
      <c r="O71" s="51">
        <f t="shared" si="10"/>
        <v>27.3</v>
      </c>
      <c r="P71" s="51">
        <f t="shared" si="11"/>
        <v>0</v>
      </c>
      <c r="Q71" s="52">
        <f t="shared" si="7"/>
        <v>27.3</v>
      </c>
      <c r="R71" s="43"/>
    </row>
    <row r="72" spans="1:18" ht="15.95" customHeight="1" x14ac:dyDescent="0.25">
      <c r="A72" s="19" t="s">
        <v>261</v>
      </c>
      <c r="B72" s="19" t="s">
        <v>262</v>
      </c>
      <c r="C72" s="33">
        <v>6</v>
      </c>
      <c r="D72" s="33">
        <v>6</v>
      </c>
      <c r="E72" s="33">
        <v>6</v>
      </c>
      <c r="F72" s="33">
        <v>1</v>
      </c>
      <c r="G72" s="33">
        <v>1</v>
      </c>
      <c r="H72" s="33" cm="1">
        <f t="array" ref="H72">G72*_xlfn.IFS(Настройки!$B$2="M",'Печатные изд.'!C72,Настройки!$B$2="L",'Печатные изд.'!D72,Настройки!$B$2="XL",'Печатные изд.'!E72)</f>
        <v>6</v>
      </c>
      <c r="I72" s="41">
        <f t="shared" si="6"/>
        <v>6</v>
      </c>
      <c r="J72" s="33" t="s">
        <v>525</v>
      </c>
      <c r="K72" s="41" cm="1">
        <f t="array" ref="K72">_xlfn.IFS(J72="Высоконагруженная",Настройки!$B$6,J72="Средне-нагруженная",Настройки!$B$7,J72="Ненагруженная",Настройки!$B$8,J72="Гибкая",Настройки!$B$9)</f>
        <v>1.2</v>
      </c>
      <c r="L72" s="41" cm="1">
        <f t="array" ref="L72">_xlfn.IFS(J72="Высоконагруженная",Настройки!$C$6,J72="Средне-нагруженная",Настройки!$C$7,J72="Ненагруженная",Настройки!$C$8,J72="Гибкая",Настройки!$C$9)/1000</f>
        <v>2</v>
      </c>
      <c r="M72" s="51">
        <f t="shared" si="8"/>
        <v>0</v>
      </c>
      <c r="N72" s="51">
        <f t="shared" si="9"/>
        <v>0</v>
      </c>
      <c r="O72" s="51">
        <f t="shared" si="10"/>
        <v>0</v>
      </c>
      <c r="P72" s="51">
        <f t="shared" si="11"/>
        <v>7.1999999999999993</v>
      </c>
      <c r="Q72" s="52">
        <f t="shared" si="7"/>
        <v>14.399999999999999</v>
      </c>
      <c r="R72" s="43"/>
    </row>
    <row r="73" spans="1:18" ht="15.95" customHeight="1" x14ac:dyDescent="0.25">
      <c r="A73" s="19" t="s">
        <v>263</v>
      </c>
      <c r="B73" s="19" t="s">
        <v>264</v>
      </c>
      <c r="C73" s="33">
        <v>1</v>
      </c>
      <c r="D73" s="33">
        <v>1</v>
      </c>
      <c r="E73" s="33">
        <v>1</v>
      </c>
      <c r="F73" s="33">
        <v>24</v>
      </c>
      <c r="G73" s="33">
        <v>1</v>
      </c>
      <c r="H73" s="33" cm="1">
        <f t="array" ref="H73">G73*_xlfn.IFS(Настройки!$B$2="M",'Печатные изд.'!C73,Настройки!$B$2="L",'Печатные изд.'!D73,Настройки!$B$2="XL",'Печатные изд.'!E73)</f>
        <v>1</v>
      </c>
      <c r="I73" s="41">
        <f t="shared" si="6"/>
        <v>24</v>
      </c>
      <c r="J73" s="33" t="s">
        <v>517</v>
      </c>
      <c r="K73" s="41" cm="1">
        <f t="array" ref="K73">_xlfn.IFS(J73="Высоконагруженная",Настройки!$B$6,J73="Средне-нагруженная",Настройки!$B$7,J73="Ненагруженная",Настройки!$B$8,J73="Гибкая",Настройки!$B$9)</f>
        <v>1.05</v>
      </c>
      <c r="L73" s="41" cm="1">
        <f t="array" ref="L73">_xlfn.IFS(J73="Высоконагруженная",Настройки!$C$6,J73="Средне-нагруженная",Настройки!$C$7,J73="Ненагруженная",Настройки!$C$8,J73="Гибкая",Настройки!$C$9)/1000</f>
        <v>1</v>
      </c>
      <c r="M73" s="51">
        <f t="shared" si="8"/>
        <v>0</v>
      </c>
      <c r="N73" s="51">
        <f t="shared" si="9"/>
        <v>0</v>
      </c>
      <c r="O73" s="51">
        <f t="shared" si="10"/>
        <v>25.200000000000003</v>
      </c>
      <c r="P73" s="51">
        <f t="shared" si="11"/>
        <v>0</v>
      </c>
      <c r="Q73" s="52">
        <f t="shared" si="7"/>
        <v>25.200000000000003</v>
      </c>
      <c r="R73" s="43"/>
    </row>
    <row r="74" spans="1:18" ht="15.95" customHeight="1" x14ac:dyDescent="0.25">
      <c r="A74" s="19" t="s">
        <v>265</v>
      </c>
      <c r="B74" s="19" t="s">
        <v>264</v>
      </c>
      <c r="C74" s="33">
        <v>1</v>
      </c>
      <c r="D74" s="33">
        <v>1</v>
      </c>
      <c r="E74" s="33">
        <v>1</v>
      </c>
      <c r="F74" s="33">
        <v>24</v>
      </c>
      <c r="G74" s="33">
        <v>1</v>
      </c>
      <c r="H74" s="33" cm="1">
        <f t="array" ref="H74">G74*_xlfn.IFS(Настройки!$B$2="M",'Печатные изд.'!C74,Настройки!$B$2="L",'Печатные изд.'!D74,Настройки!$B$2="XL",'Печатные изд.'!E74)</f>
        <v>1</v>
      </c>
      <c r="I74" s="41">
        <f t="shared" si="6"/>
        <v>24</v>
      </c>
      <c r="J74" s="33" t="s">
        <v>517</v>
      </c>
      <c r="K74" s="41" cm="1">
        <f t="array" ref="K74">_xlfn.IFS(J74="Высоконагруженная",Настройки!$B$6,J74="Средне-нагруженная",Настройки!$B$7,J74="Ненагруженная",Настройки!$B$8,J74="Гибкая",Настройки!$B$9)</f>
        <v>1.05</v>
      </c>
      <c r="L74" s="41" cm="1">
        <f t="array" ref="L74">_xlfn.IFS(J74="Высоконагруженная",Настройки!$C$6,J74="Средне-нагруженная",Настройки!$C$7,J74="Ненагруженная",Настройки!$C$8,J74="Гибкая",Настройки!$C$9)/1000</f>
        <v>1</v>
      </c>
      <c r="M74" s="51">
        <f t="shared" si="8"/>
        <v>0</v>
      </c>
      <c r="N74" s="51">
        <f t="shared" si="9"/>
        <v>0</v>
      </c>
      <c r="O74" s="51">
        <f t="shared" si="10"/>
        <v>25.200000000000003</v>
      </c>
      <c r="P74" s="51">
        <f t="shared" si="11"/>
        <v>0</v>
      </c>
      <c r="Q74" s="52">
        <f t="shared" si="7"/>
        <v>25.200000000000003</v>
      </c>
      <c r="R74" s="43"/>
    </row>
    <row r="75" spans="1:18" ht="15.95" customHeight="1" x14ac:dyDescent="0.25">
      <c r="A75" s="19" t="s">
        <v>527</v>
      </c>
      <c r="B75" s="19" t="s">
        <v>266</v>
      </c>
      <c r="C75" s="33">
        <v>1</v>
      </c>
      <c r="D75" s="33">
        <v>1</v>
      </c>
      <c r="E75" s="33">
        <v>1</v>
      </c>
      <c r="F75" s="33">
        <v>30</v>
      </c>
      <c r="G75" s="33">
        <v>1</v>
      </c>
      <c r="H75" s="33" cm="1">
        <f t="array" ref="H75">G75*_xlfn.IFS(Настройки!$B$2="M",'Печатные изд.'!C75,Настройки!$B$2="L",'Печатные изд.'!D75,Настройки!$B$2="XL",'Печатные изд.'!E75)</f>
        <v>1</v>
      </c>
      <c r="I75" s="41">
        <f t="shared" si="6"/>
        <v>30</v>
      </c>
      <c r="J75" s="33" t="s">
        <v>517</v>
      </c>
      <c r="K75" s="41" cm="1">
        <f t="array" ref="K75">_xlfn.IFS(J75="Высоконагруженная",Настройки!$B$6,J75="Средне-нагруженная",Настройки!$B$7,J75="Ненагруженная",Настройки!$B$8,J75="Гибкая",Настройки!$B$9)</f>
        <v>1.05</v>
      </c>
      <c r="L75" s="41" cm="1">
        <f t="array" ref="L75">_xlfn.IFS(J75="Высоконагруженная",Настройки!$C$6,J75="Средне-нагруженная",Настройки!$C$7,J75="Ненагруженная",Настройки!$C$8,J75="Гибкая",Настройки!$C$9)/1000</f>
        <v>1</v>
      </c>
      <c r="M75" s="51">
        <f t="shared" si="8"/>
        <v>0</v>
      </c>
      <c r="N75" s="51">
        <f t="shared" si="9"/>
        <v>0</v>
      </c>
      <c r="O75" s="51">
        <f t="shared" si="10"/>
        <v>31.5</v>
      </c>
      <c r="P75" s="51">
        <f t="shared" si="11"/>
        <v>0</v>
      </c>
      <c r="Q75" s="52">
        <f t="shared" si="7"/>
        <v>31.5</v>
      </c>
      <c r="R75" s="102" t="s">
        <v>529</v>
      </c>
    </row>
    <row r="76" spans="1:18" ht="15.95" customHeight="1" x14ac:dyDescent="0.25">
      <c r="A76" s="19" t="s">
        <v>528</v>
      </c>
      <c r="B76" s="19" t="s">
        <v>266</v>
      </c>
      <c r="C76" s="33">
        <v>1</v>
      </c>
      <c r="D76" s="33">
        <v>1</v>
      </c>
      <c r="E76" s="33">
        <v>1</v>
      </c>
      <c r="F76" s="33">
        <v>30</v>
      </c>
      <c r="G76" s="33">
        <v>1</v>
      </c>
      <c r="H76" s="33" cm="1">
        <f t="array" ref="H76">G76*_xlfn.IFS(Настройки!$B$2="M",'Печатные изд.'!C76,Настройки!$B$2="L",'Печатные изд.'!D76,Настройки!$B$2="XL",'Печатные изд.'!E76)</f>
        <v>1</v>
      </c>
      <c r="I76" s="41">
        <f t="shared" si="6"/>
        <v>30</v>
      </c>
      <c r="J76" s="33" t="s">
        <v>517</v>
      </c>
      <c r="K76" s="41" cm="1">
        <f t="array" ref="K76">_xlfn.IFS(J76="Высоконагруженная",Настройки!$B$6,J76="Средне-нагруженная",Настройки!$B$7,J76="Ненагруженная",Настройки!$B$8,J76="Гибкая",Настройки!$B$9)</f>
        <v>1.05</v>
      </c>
      <c r="L76" s="41" cm="1">
        <f t="array" ref="L76">_xlfn.IFS(J76="Высоконагруженная",Настройки!$C$6,J76="Средне-нагруженная",Настройки!$C$7,J76="Ненагруженная",Настройки!$C$8,J76="Гибкая",Настройки!$C$9)/1000</f>
        <v>1</v>
      </c>
      <c r="M76" s="51">
        <f t="shared" si="8"/>
        <v>0</v>
      </c>
      <c r="N76" s="51">
        <f t="shared" si="9"/>
        <v>0</v>
      </c>
      <c r="O76" s="51">
        <f t="shared" si="10"/>
        <v>31.5</v>
      </c>
      <c r="P76" s="51">
        <f t="shared" si="11"/>
        <v>0</v>
      </c>
      <c r="Q76" s="52">
        <f t="shared" si="7"/>
        <v>31.5</v>
      </c>
      <c r="R76" s="103"/>
    </row>
    <row r="77" spans="1:18" ht="15.95" customHeight="1" x14ac:dyDescent="0.25">
      <c r="A77" s="19" t="s">
        <v>267</v>
      </c>
      <c r="B77" s="19" t="s">
        <v>268</v>
      </c>
      <c r="C77" s="33">
        <v>2</v>
      </c>
      <c r="D77" s="33">
        <v>4</v>
      </c>
      <c r="E77" s="33">
        <v>4</v>
      </c>
      <c r="F77" s="33">
        <v>32</v>
      </c>
      <c r="G77" s="33">
        <v>1</v>
      </c>
      <c r="H77" s="33" cm="1">
        <f t="array" ref="H77">G77*_xlfn.IFS(Настройки!$B$2="M",'Печатные изд.'!C77,Настройки!$B$2="L",'Печатные изд.'!D77,Настройки!$B$2="XL",'Печатные изд.'!E77)</f>
        <v>2</v>
      </c>
      <c r="I77" s="41">
        <f t="shared" si="6"/>
        <v>64</v>
      </c>
      <c r="J77" s="33" t="s">
        <v>517</v>
      </c>
      <c r="K77" s="41" cm="1">
        <f t="array" ref="K77">_xlfn.IFS(J77="Высоконагруженная",Настройки!$B$6,J77="Средне-нагруженная",Настройки!$B$7,J77="Ненагруженная",Настройки!$B$8,J77="Гибкая",Настройки!$B$9)</f>
        <v>1.05</v>
      </c>
      <c r="L77" s="41" cm="1">
        <f t="array" ref="L77">_xlfn.IFS(J77="Высоконагруженная",Настройки!$C$6,J77="Средне-нагруженная",Настройки!$C$7,J77="Ненагруженная",Настройки!$C$8,J77="Гибкая",Настройки!$C$9)/1000</f>
        <v>1</v>
      </c>
      <c r="M77" s="51">
        <f t="shared" si="8"/>
        <v>0</v>
      </c>
      <c r="N77" s="51">
        <f t="shared" si="9"/>
        <v>0</v>
      </c>
      <c r="O77" s="51">
        <f t="shared" si="10"/>
        <v>67.2</v>
      </c>
      <c r="P77" s="51">
        <f t="shared" si="11"/>
        <v>0</v>
      </c>
      <c r="Q77" s="52">
        <f t="shared" si="7"/>
        <v>67.2</v>
      </c>
      <c r="R77" s="43"/>
    </row>
    <row r="78" spans="1:18" ht="15.95" customHeight="1" x14ac:dyDescent="0.25">
      <c r="A78" s="19" t="s">
        <v>269</v>
      </c>
      <c r="B78" s="19" t="s">
        <v>270</v>
      </c>
      <c r="C78" s="33">
        <v>4</v>
      </c>
      <c r="D78" s="33">
        <v>4</v>
      </c>
      <c r="E78" s="33">
        <v>4</v>
      </c>
      <c r="F78" s="33">
        <v>62</v>
      </c>
      <c r="G78" s="33">
        <v>1</v>
      </c>
      <c r="H78" s="33" cm="1">
        <f t="array" ref="H78">G78*_xlfn.IFS(Настройки!$B$2="M",'Печатные изд.'!C78,Настройки!$B$2="L",'Печатные изд.'!D78,Настройки!$B$2="XL",'Печатные изд.'!E78)</f>
        <v>4</v>
      </c>
      <c r="I78" s="41">
        <f t="shared" si="6"/>
        <v>248</v>
      </c>
      <c r="J78" s="33" t="s">
        <v>517</v>
      </c>
      <c r="K78" s="41" cm="1">
        <f t="array" ref="K78">_xlfn.IFS(J78="Высоконагруженная",Настройки!$B$6,J78="Средне-нагруженная",Настройки!$B$7,J78="Ненагруженная",Настройки!$B$8,J78="Гибкая",Настройки!$B$9)</f>
        <v>1.05</v>
      </c>
      <c r="L78" s="41" cm="1">
        <f t="array" ref="L78">_xlfn.IFS(J78="Высоконагруженная",Настройки!$C$6,J78="Средне-нагруженная",Настройки!$C$7,J78="Ненагруженная",Настройки!$C$8,J78="Гибкая",Настройки!$C$9)/1000</f>
        <v>1</v>
      </c>
      <c r="M78" s="51">
        <f t="shared" si="8"/>
        <v>0</v>
      </c>
      <c r="N78" s="51">
        <f t="shared" si="9"/>
        <v>0</v>
      </c>
      <c r="O78" s="51">
        <f t="shared" si="10"/>
        <v>260.40000000000003</v>
      </c>
      <c r="P78" s="51">
        <f t="shared" si="11"/>
        <v>0</v>
      </c>
      <c r="Q78" s="52">
        <f t="shared" si="7"/>
        <v>260.40000000000003</v>
      </c>
      <c r="R78" s="43"/>
    </row>
    <row r="79" spans="1:18" ht="15.95" customHeight="1" x14ac:dyDescent="0.25">
      <c r="A79" s="19" t="s">
        <v>271</v>
      </c>
      <c r="B79" s="19" t="s">
        <v>272</v>
      </c>
      <c r="C79" s="33">
        <v>2</v>
      </c>
      <c r="D79" s="33">
        <v>2</v>
      </c>
      <c r="E79" s="33">
        <v>2</v>
      </c>
      <c r="F79" s="33">
        <v>30</v>
      </c>
      <c r="G79" s="33">
        <v>1</v>
      </c>
      <c r="H79" s="33" cm="1">
        <f t="array" ref="H79">G79*_xlfn.IFS(Настройки!$B$2="M",'Печатные изд.'!C79,Настройки!$B$2="L",'Печатные изд.'!D79,Настройки!$B$2="XL",'Печатные изд.'!E79)</f>
        <v>2</v>
      </c>
      <c r="I79" s="41">
        <f t="shared" si="6"/>
        <v>60</v>
      </c>
      <c r="J79" s="33" t="s">
        <v>517</v>
      </c>
      <c r="K79" s="41" cm="1">
        <f t="array" ref="K79">_xlfn.IFS(J79="Высоконагруженная",Настройки!$B$6,J79="Средне-нагруженная",Настройки!$B$7,J79="Ненагруженная",Настройки!$B$8,J79="Гибкая",Настройки!$B$9)</f>
        <v>1.05</v>
      </c>
      <c r="L79" s="41" cm="1">
        <f t="array" ref="L79">_xlfn.IFS(J79="Высоконагруженная",Настройки!$C$6,J79="Средне-нагруженная",Настройки!$C$7,J79="Ненагруженная",Настройки!$C$8,J79="Гибкая",Настройки!$C$9)/1000</f>
        <v>1</v>
      </c>
      <c r="M79" s="51">
        <f t="shared" si="8"/>
        <v>0</v>
      </c>
      <c r="N79" s="51">
        <f t="shared" si="9"/>
        <v>0</v>
      </c>
      <c r="O79" s="51">
        <f t="shared" si="10"/>
        <v>63</v>
      </c>
      <c r="P79" s="51">
        <f t="shared" si="11"/>
        <v>0</v>
      </c>
      <c r="Q79" s="52">
        <f t="shared" si="7"/>
        <v>63</v>
      </c>
      <c r="R79" s="43"/>
    </row>
    <row r="80" spans="1:18" ht="15.95" customHeight="1" x14ac:dyDescent="0.25">
      <c r="A80" s="19" t="s">
        <v>273</v>
      </c>
      <c r="B80" s="19" t="s">
        <v>272</v>
      </c>
      <c r="C80" s="33">
        <v>2</v>
      </c>
      <c r="D80" s="33">
        <v>2</v>
      </c>
      <c r="E80" s="33">
        <v>2</v>
      </c>
      <c r="F80" s="33">
        <v>30</v>
      </c>
      <c r="G80" s="33">
        <v>1</v>
      </c>
      <c r="H80" s="33" cm="1">
        <f t="array" ref="H80">G80*_xlfn.IFS(Настройки!$B$2="M",'Печатные изд.'!C80,Настройки!$B$2="L",'Печатные изд.'!D80,Настройки!$B$2="XL",'Печатные изд.'!E80)</f>
        <v>2</v>
      </c>
      <c r="I80" s="41">
        <f t="shared" si="6"/>
        <v>60</v>
      </c>
      <c r="J80" s="33" t="s">
        <v>517</v>
      </c>
      <c r="K80" s="41" cm="1">
        <f t="array" ref="K80">_xlfn.IFS(J80="Высоконагруженная",Настройки!$B$6,J80="Средне-нагруженная",Настройки!$B$7,J80="Ненагруженная",Настройки!$B$8,J80="Гибкая",Настройки!$B$9)</f>
        <v>1.05</v>
      </c>
      <c r="L80" s="41" cm="1">
        <f t="array" ref="L80">_xlfn.IFS(J80="Высоконагруженная",Настройки!$C$6,J80="Средне-нагруженная",Настройки!$C$7,J80="Ненагруженная",Настройки!$C$8,J80="Гибкая",Настройки!$C$9)/1000</f>
        <v>1</v>
      </c>
      <c r="M80" s="51">
        <f t="shared" si="8"/>
        <v>0</v>
      </c>
      <c r="N80" s="51">
        <f t="shared" si="9"/>
        <v>0</v>
      </c>
      <c r="O80" s="51">
        <f t="shared" si="10"/>
        <v>63</v>
      </c>
      <c r="P80" s="51">
        <f t="shared" si="11"/>
        <v>0</v>
      </c>
      <c r="Q80" s="52">
        <f t="shared" si="7"/>
        <v>63</v>
      </c>
      <c r="R80" s="43"/>
    </row>
    <row r="81" spans="1:18" ht="15.95" customHeight="1" x14ac:dyDescent="0.25">
      <c r="A81" s="19" t="s">
        <v>274</v>
      </c>
      <c r="B81" s="19" t="s">
        <v>275</v>
      </c>
      <c r="C81" s="33">
        <v>4</v>
      </c>
      <c r="D81" s="33">
        <v>4</v>
      </c>
      <c r="E81" s="33">
        <v>4</v>
      </c>
      <c r="F81" s="33">
        <v>75</v>
      </c>
      <c r="G81" s="33">
        <v>1</v>
      </c>
      <c r="H81" s="33" cm="1">
        <f t="array" ref="H81">G81*_xlfn.IFS(Настройки!$B$2="M",'Печатные изд.'!C81,Настройки!$B$2="L",'Печатные изд.'!D81,Настройки!$B$2="XL",'Печатные изд.'!E81)</f>
        <v>4</v>
      </c>
      <c r="I81" s="41">
        <f t="shared" si="6"/>
        <v>300</v>
      </c>
      <c r="J81" s="33" t="s">
        <v>517</v>
      </c>
      <c r="K81" s="41" cm="1">
        <f t="array" ref="K81">_xlfn.IFS(J81="Высоконагруженная",Настройки!$B$6,J81="Средне-нагруженная",Настройки!$B$7,J81="Ненагруженная",Настройки!$B$8,J81="Гибкая",Настройки!$B$9)</f>
        <v>1.05</v>
      </c>
      <c r="L81" s="41" cm="1">
        <f t="array" ref="L81">_xlfn.IFS(J81="Высоконагруженная",Настройки!$C$6,J81="Средне-нагруженная",Настройки!$C$7,J81="Ненагруженная",Настройки!$C$8,J81="Гибкая",Настройки!$C$9)/1000</f>
        <v>1</v>
      </c>
      <c r="M81" s="51">
        <f t="shared" si="8"/>
        <v>0</v>
      </c>
      <c r="N81" s="51">
        <f t="shared" si="9"/>
        <v>0</v>
      </c>
      <c r="O81" s="51">
        <f t="shared" si="10"/>
        <v>315</v>
      </c>
      <c r="P81" s="51">
        <f t="shared" si="11"/>
        <v>0</v>
      </c>
      <c r="Q81" s="52">
        <f t="shared" si="7"/>
        <v>315</v>
      </c>
      <c r="R81" s="43"/>
    </row>
    <row r="82" spans="1:18" ht="15.95" customHeight="1" x14ac:dyDescent="0.25">
      <c r="A82" s="19" t="s">
        <v>276</v>
      </c>
      <c r="B82" s="19" t="s">
        <v>277</v>
      </c>
      <c r="C82" s="33">
        <v>2</v>
      </c>
      <c r="D82" s="33">
        <v>2</v>
      </c>
      <c r="E82" s="33">
        <v>2</v>
      </c>
      <c r="F82" s="33">
        <v>55</v>
      </c>
      <c r="G82" s="33">
        <v>1</v>
      </c>
      <c r="H82" s="33" cm="1">
        <f t="array" ref="H82">G82*_xlfn.IFS(Настройки!$B$2="M",'Печатные изд.'!C82,Настройки!$B$2="L",'Печатные изд.'!D82,Настройки!$B$2="XL",'Печатные изд.'!E82)</f>
        <v>2</v>
      </c>
      <c r="I82" s="41">
        <f t="shared" si="6"/>
        <v>110</v>
      </c>
      <c r="J82" s="33" t="s">
        <v>517</v>
      </c>
      <c r="K82" s="41" cm="1">
        <f t="array" ref="K82">_xlfn.IFS(J82="Высоконагруженная",Настройки!$B$6,J82="Средне-нагруженная",Настройки!$B$7,J82="Ненагруженная",Настройки!$B$8,J82="Гибкая",Настройки!$B$9)</f>
        <v>1.05</v>
      </c>
      <c r="L82" s="41" cm="1">
        <f t="array" ref="L82">_xlfn.IFS(J82="Высоконагруженная",Настройки!$C$6,J82="Средне-нагруженная",Настройки!$C$7,J82="Ненагруженная",Настройки!$C$8,J82="Гибкая",Настройки!$C$9)/1000</f>
        <v>1</v>
      </c>
      <c r="M82" s="51">
        <f t="shared" si="8"/>
        <v>0</v>
      </c>
      <c r="N82" s="51">
        <f t="shared" si="9"/>
        <v>0</v>
      </c>
      <c r="O82" s="51">
        <f t="shared" si="10"/>
        <v>115.5</v>
      </c>
      <c r="P82" s="51">
        <f t="shared" si="11"/>
        <v>0</v>
      </c>
      <c r="Q82" s="52">
        <f t="shared" si="7"/>
        <v>115.5</v>
      </c>
      <c r="R82" s="43"/>
    </row>
    <row r="83" spans="1:18" ht="15.95" customHeight="1" x14ac:dyDescent="0.25">
      <c r="A83" s="19" t="s">
        <v>278</v>
      </c>
      <c r="B83" s="19" t="s">
        <v>279</v>
      </c>
      <c r="C83" s="33">
        <v>2</v>
      </c>
      <c r="D83" s="33">
        <v>2</v>
      </c>
      <c r="E83" s="33">
        <v>2</v>
      </c>
      <c r="F83" s="33">
        <v>10</v>
      </c>
      <c r="G83" s="33">
        <v>1</v>
      </c>
      <c r="H83" s="33" cm="1">
        <f t="array" ref="H83">G83*_xlfn.IFS(Настройки!$B$2="M",'Печатные изд.'!C83,Настройки!$B$2="L",'Печатные изд.'!D83,Настройки!$B$2="XL",'Печатные изд.'!E83)</f>
        <v>2</v>
      </c>
      <c r="I83" s="41">
        <f t="shared" si="6"/>
        <v>20</v>
      </c>
      <c r="J83" s="33" t="s">
        <v>517</v>
      </c>
      <c r="K83" s="41" cm="1">
        <f t="array" ref="K83">_xlfn.IFS(J83="Высоконагруженная",Настройки!$B$6,J83="Средне-нагруженная",Настройки!$B$7,J83="Ненагруженная",Настройки!$B$8,J83="Гибкая",Настройки!$B$9)</f>
        <v>1.05</v>
      </c>
      <c r="L83" s="41" cm="1">
        <f t="array" ref="L83">_xlfn.IFS(J83="Высоконагруженная",Настройки!$C$6,J83="Средне-нагруженная",Настройки!$C$7,J83="Ненагруженная",Настройки!$C$8,J83="Гибкая",Настройки!$C$9)/1000</f>
        <v>1</v>
      </c>
      <c r="M83" s="51">
        <f t="shared" si="8"/>
        <v>0</v>
      </c>
      <c r="N83" s="51">
        <f t="shared" si="9"/>
        <v>0</v>
      </c>
      <c r="O83" s="51">
        <f t="shared" si="10"/>
        <v>21</v>
      </c>
      <c r="P83" s="51">
        <f t="shared" si="11"/>
        <v>0</v>
      </c>
      <c r="Q83" s="52">
        <f t="shared" si="7"/>
        <v>21</v>
      </c>
      <c r="R83" s="43"/>
    </row>
    <row r="84" spans="1:18" ht="15.95" customHeight="1" x14ac:dyDescent="0.25">
      <c r="A84" s="19" t="s">
        <v>280</v>
      </c>
      <c r="B84" s="19" t="s">
        <v>279</v>
      </c>
      <c r="C84" s="33">
        <v>2</v>
      </c>
      <c r="D84" s="33">
        <v>2</v>
      </c>
      <c r="E84" s="33">
        <v>2</v>
      </c>
      <c r="F84" s="33">
        <v>10</v>
      </c>
      <c r="G84" s="33">
        <v>1</v>
      </c>
      <c r="H84" s="33" cm="1">
        <f t="array" ref="H84">G84*_xlfn.IFS(Настройки!$B$2="M",'Печатные изд.'!C84,Настройки!$B$2="L",'Печатные изд.'!D84,Настройки!$B$2="XL",'Печатные изд.'!E84)</f>
        <v>2</v>
      </c>
      <c r="I84" s="41">
        <f t="shared" si="6"/>
        <v>20</v>
      </c>
      <c r="J84" s="33" t="s">
        <v>517</v>
      </c>
      <c r="K84" s="41" cm="1">
        <f t="array" ref="K84">_xlfn.IFS(J84="Высоконагруженная",Настройки!$B$6,J84="Средне-нагруженная",Настройки!$B$7,J84="Ненагруженная",Настройки!$B$8,J84="Гибкая",Настройки!$B$9)</f>
        <v>1.05</v>
      </c>
      <c r="L84" s="41" cm="1">
        <f t="array" ref="L84">_xlfn.IFS(J84="Высоконагруженная",Настройки!$C$6,J84="Средне-нагруженная",Настройки!$C$7,J84="Ненагруженная",Настройки!$C$8,J84="Гибкая",Настройки!$C$9)/1000</f>
        <v>1</v>
      </c>
      <c r="M84" s="51">
        <f t="shared" si="8"/>
        <v>0</v>
      </c>
      <c r="N84" s="51">
        <f t="shared" si="9"/>
        <v>0</v>
      </c>
      <c r="O84" s="51">
        <f t="shared" si="10"/>
        <v>21</v>
      </c>
      <c r="P84" s="51">
        <f t="shared" si="11"/>
        <v>0</v>
      </c>
      <c r="Q84" s="52">
        <f t="shared" si="7"/>
        <v>21</v>
      </c>
      <c r="R84" s="43"/>
    </row>
    <row r="85" spans="1:18" ht="15.95" customHeight="1" x14ac:dyDescent="0.25">
      <c r="A85" s="19" t="s">
        <v>281</v>
      </c>
      <c r="B85" s="19" t="s">
        <v>282</v>
      </c>
      <c r="C85" s="33">
        <v>2</v>
      </c>
      <c r="D85" s="33">
        <v>2</v>
      </c>
      <c r="E85" s="33">
        <v>2</v>
      </c>
      <c r="F85" s="33">
        <v>16</v>
      </c>
      <c r="G85" s="33">
        <v>1</v>
      </c>
      <c r="H85" s="33" cm="1">
        <f t="array" ref="H85">G85*_xlfn.IFS(Настройки!$B$2="M",'Печатные изд.'!C85,Настройки!$B$2="L",'Печатные изд.'!D85,Настройки!$B$2="XL",'Печатные изд.'!E85)</f>
        <v>2</v>
      </c>
      <c r="I85" s="41">
        <f t="shared" si="6"/>
        <v>32</v>
      </c>
      <c r="J85" s="33" t="s">
        <v>517</v>
      </c>
      <c r="K85" s="41" cm="1">
        <f t="array" ref="K85">_xlfn.IFS(J85="Высоконагруженная",Настройки!$B$6,J85="Средне-нагруженная",Настройки!$B$7,J85="Ненагруженная",Настройки!$B$8,J85="Гибкая",Настройки!$B$9)</f>
        <v>1.05</v>
      </c>
      <c r="L85" s="41" cm="1">
        <f t="array" ref="L85">_xlfn.IFS(J85="Высоконагруженная",Настройки!$C$6,J85="Средне-нагруженная",Настройки!$C$7,J85="Ненагруженная",Настройки!$C$8,J85="Гибкая",Настройки!$C$9)/1000</f>
        <v>1</v>
      </c>
      <c r="M85" s="51">
        <f t="shared" si="8"/>
        <v>0</v>
      </c>
      <c r="N85" s="51">
        <f t="shared" si="9"/>
        <v>0</v>
      </c>
      <c r="O85" s="51">
        <f t="shared" si="10"/>
        <v>33.6</v>
      </c>
      <c r="P85" s="51">
        <f t="shared" si="11"/>
        <v>0</v>
      </c>
      <c r="Q85" s="52">
        <f t="shared" si="7"/>
        <v>33.6</v>
      </c>
      <c r="R85" s="43"/>
    </row>
    <row r="86" spans="1:18" ht="15.95" customHeight="1" x14ac:dyDescent="0.25">
      <c r="A86" s="19" t="s">
        <v>283</v>
      </c>
      <c r="B86" s="19" t="s">
        <v>284</v>
      </c>
      <c r="C86" s="33">
        <v>1</v>
      </c>
      <c r="D86" s="33">
        <v>1</v>
      </c>
      <c r="E86" s="33">
        <v>0</v>
      </c>
      <c r="F86" s="33">
        <v>58</v>
      </c>
      <c r="G86" s="33">
        <v>1</v>
      </c>
      <c r="H86" s="33" cm="1">
        <f t="array" ref="H86">G86*_xlfn.IFS(Настройки!$B$2="M",'Печатные изд.'!C86,Настройки!$B$2="L",'Печатные изд.'!D86,Настройки!$B$2="XL",'Печатные изд.'!E86)</f>
        <v>1</v>
      </c>
      <c r="I86" s="41">
        <f t="shared" si="6"/>
        <v>58</v>
      </c>
      <c r="J86" s="33" t="s">
        <v>517</v>
      </c>
      <c r="K86" s="41" cm="1">
        <f t="array" ref="K86">_xlfn.IFS(J86="Высоконагруженная",Настройки!$B$6,J86="Средне-нагруженная",Настройки!$B$7,J86="Ненагруженная",Настройки!$B$8,J86="Гибкая",Настройки!$B$9)</f>
        <v>1.05</v>
      </c>
      <c r="L86" s="41" cm="1">
        <f t="array" ref="L86">_xlfn.IFS(J86="Высоконагруженная",Настройки!$C$6,J86="Средне-нагруженная",Настройки!$C$7,J86="Ненагруженная",Настройки!$C$8,J86="Гибкая",Настройки!$C$9)/1000</f>
        <v>1</v>
      </c>
      <c r="M86" s="51">
        <f t="shared" si="8"/>
        <v>0</v>
      </c>
      <c r="N86" s="51">
        <f t="shared" si="9"/>
        <v>0</v>
      </c>
      <c r="O86" s="51">
        <f t="shared" si="10"/>
        <v>60.900000000000006</v>
      </c>
      <c r="P86" s="51">
        <f t="shared" si="11"/>
        <v>0</v>
      </c>
      <c r="Q86" s="52">
        <f t="shared" si="7"/>
        <v>60.900000000000006</v>
      </c>
      <c r="R86" s="43"/>
    </row>
    <row r="87" spans="1:18" ht="15.95" customHeight="1" x14ac:dyDescent="0.25">
      <c r="A87" s="19" t="s">
        <v>285</v>
      </c>
      <c r="B87" s="19" t="s">
        <v>284</v>
      </c>
      <c r="C87" s="33">
        <v>0</v>
      </c>
      <c r="D87" s="33">
        <v>0</v>
      </c>
      <c r="E87" s="33">
        <v>1</v>
      </c>
      <c r="F87" s="33">
        <v>68</v>
      </c>
      <c r="G87" s="33">
        <v>1</v>
      </c>
      <c r="H87" s="33" cm="1">
        <f t="array" ref="H87">G87*_xlfn.IFS(Настройки!$B$2="M",'Печатные изд.'!C87,Настройки!$B$2="L",'Печатные изд.'!D87,Настройки!$B$2="XL",'Печатные изд.'!E87)</f>
        <v>0</v>
      </c>
      <c r="I87" s="41">
        <f t="shared" si="6"/>
        <v>0</v>
      </c>
      <c r="J87" s="33" t="s">
        <v>517</v>
      </c>
      <c r="K87" s="41" cm="1">
        <f t="array" ref="K87">_xlfn.IFS(J87="Высоконагруженная",Настройки!$B$6,J87="Средне-нагруженная",Настройки!$B$7,J87="Ненагруженная",Настройки!$B$8,J87="Гибкая",Настройки!$B$9)</f>
        <v>1.05</v>
      </c>
      <c r="L87" s="41" cm="1">
        <f t="array" ref="L87">_xlfn.IFS(J87="Высоконагруженная",Настройки!$C$6,J87="Средне-нагруженная",Настройки!$C$7,J87="Ненагруженная",Настройки!$C$8,J87="Гибкая",Настройки!$C$9)/1000</f>
        <v>1</v>
      </c>
      <c r="M87" s="51">
        <f t="shared" si="8"/>
        <v>0</v>
      </c>
      <c r="N87" s="51">
        <f t="shared" si="9"/>
        <v>0</v>
      </c>
      <c r="O87" s="51">
        <f t="shared" si="10"/>
        <v>0</v>
      </c>
      <c r="P87" s="51">
        <f t="shared" si="11"/>
        <v>0</v>
      </c>
      <c r="Q87" s="52">
        <f t="shared" si="7"/>
        <v>0</v>
      </c>
      <c r="R87" s="43"/>
    </row>
    <row r="88" spans="1:18" ht="15.95" customHeight="1" x14ac:dyDescent="0.25">
      <c r="A88" s="19" t="s">
        <v>286</v>
      </c>
      <c r="B88" s="19" t="s">
        <v>287</v>
      </c>
      <c r="C88" s="33">
        <v>1</v>
      </c>
      <c r="D88" s="33">
        <v>1</v>
      </c>
      <c r="E88" s="33">
        <v>0</v>
      </c>
      <c r="F88" s="33">
        <v>59</v>
      </c>
      <c r="G88" s="33">
        <v>1</v>
      </c>
      <c r="H88" s="33" cm="1">
        <f t="array" ref="H88">G88*_xlfn.IFS(Настройки!$B$2="M",'Печатные изд.'!C88,Настройки!$B$2="L",'Печатные изд.'!D88,Настройки!$B$2="XL",'Печатные изд.'!E88)</f>
        <v>1</v>
      </c>
      <c r="I88" s="41">
        <f t="shared" si="6"/>
        <v>59</v>
      </c>
      <c r="J88" s="33" t="s">
        <v>517</v>
      </c>
      <c r="K88" s="41" cm="1">
        <f t="array" ref="K88">_xlfn.IFS(J88="Высоконагруженная",Настройки!$B$6,J88="Средне-нагруженная",Настройки!$B$7,J88="Ненагруженная",Настройки!$B$8,J88="Гибкая",Настройки!$B$9)</f>
        <v>1.05</v>
      </c>
      <c r="L88" s="41" cm="1">
        <f t="array" ref="L88">_xlfn.IFS(J88="Высоконагруженная",Настройки!$C$6,J88="Средне-нагруженная",Настройки!$C$7,J88="Ненагруженная",Настройки!$C$8,J88="Гибкая",Настройки!$C$9)/1000</f>
        <v>1</v>
      </c>
      <c r="M88" s="51">
        <f t="shared" si="8"/>
        <v>0</v>
      </c>
      <c r="N88" s="51">
        <f t="shared" si="9"/>
        <v>0</v>
      </c>
      <c r="O88" s="51">
        <f t="shared" si="10"/>
        <v>61.95</v>
      </c>
      <c r="P88" s="51">
        <f t="shared" si="11"/>
        <v>0</v>
      </c>
      <c r="Q88" s="52">
        <f t="shared" si="7"/>
        <v>61.95</v>
      </c>
      <c r="R88" s="43"/>
    </row>
    <row r="89" spans="1:18" ht="15.95" customHeight="1" x14ac:dyDescent="0.25">
      <c r="A89" s="19" t="s">
        <v>288</v>
      </c>
      <c r="B89" s="19" t="s">
        <v>287</v>
      </c>
      <c r="C89" s="33">
        <v>0</v>
      </c>
      <c r="D89" s="33">
        <v>0</v>
      </c>
      <c r="E89" s="33">
        <v>1</v>
      </c>
      <c r="F89" s="33">
        <v>68</v>
      </c>
      <c r="G89" s="33">
        <v>1</v>
      </c>
      <c r="H89" s="33" cm="1">
        <f t="array" ref="H89">G89*_xlfn.IFS(Настройки!$B$2="M",'Печатные изд.'!C89,Настройки!$B$2="L",'Печатные изд.'!D89,Настройки!$B$2="XL",'Печатные изд.'!E89)</f>
        <v>0</v>
      </c>
      <c r="I89" s="41">
        <f t="shared" si="6"/>
        <v>0</v>
      </c>
      <c r="J89" s="33" t="s">
        <v>517</v>
      </c>
      <c r="K89" s="41" cm="1">
        <f t="array" ref="K89">_xlfn.IFS(J89="Высоконагруженная",Настройки!$B$6,J89="Средне-нагруженная",Настройки!$B$7,J89="Ненагруженная",Настройки!$B$8,J89="Гибкая",Настройки!$B$9)</f>
        <v>1.05</v>
      </c>
      <c r="L89" s="41" cm="1">
        <f t="array" ref="L89">_xlfn.IFS(J89="Высоконагруженная",Настройки!$C$6,J89="Средне-нагруженная",Настройки!$C$7,J89="Ненагруженная",Настройки!$C$8,J89="Гибкая",Настройки!$C$9)/1000</f>
        <v>1</v>
      </c>
      <c r="M89" s="51">
        <f t="shared" si="8"/>
        <v>0</v>
      </c>
      <c r="N89" s="51">
        <f t="shared" si="9"/>
        <v>0</v>
      </c>
      <c r="O89" s="51">
        <f t="shared" si="10"/>
        <v>0</v>
      </c>
      <c r="P89" s="51">
        <f t="shared" si="11"/>
        <v>0</v>
      </c>
      <c r="Q89" s="52">
        <f t="shared" si="7"/>
        <v>0</v>
      </c>
      <c r="R89" s="43"/>
    </row>
    <row r="90" spans="1:18" ht="15.95" customHeight="1" x14ac:dyDescent="0.25">
      <c r="A90" s="19" t="s">
        <v>503</v>
      </c>
      <c r="B90" s="19" t="s">
        <v>504</v>
      </c>
      <c r="C90" s="33">
        <v>1</v>
      </c>
      <c r="D90" s="33">
        <v>1</v>
      </c>
      <c r="E90" s="33">
        <v>1</v>
      </c>
      <c r="F90" s="33">
        <v>3</v>
      </c>
      <c r="G90" s="33">
        <v>1</v>
      </c>
      <c r="H90" s="33" cm="1">
        <f t="array" ref="H90">G90*_xlfn.IFS(Настройки!$B$2="M",'Печатные изд.'!C90,Настройки!$B$2="L",'Печатные изд.'!D90,Настройки!$B$2="XL",'Печатные изд.'!E90)</f>
        <v>1</v>
      </c>
      <c r="I90" s="41">
        <f t="shared" si="6"/>
        <v>3</v>
      </c>
      <c r="J90" s="33" t="s">
        <v>517</v>
      </c>
      <c r="K90" s="41" cm="1">
        <f t="array" ref="K90">_xlfn.IFS(J90="Высоконагруженная",Настройки!$B$6,J90="Средне-нагруженная",Настройки!$B$7,J90="Ненагруженная",Настройки!$B$8,J90="Гибкая",Настройки!$B$9)</f>
        <v>1.05</v>
      </c>
      <c r="L90" s="41" cm="1">
        <f t="array" ref="L90">_xlfn.IFS(J90="Высоконагруженная",Настройки!$C$6,J90="Средне-нагруженная",Настройки!$C$7,J90="Ненагруженная",Настройки!$C$8,J90="Гибкая",Настройки!$C$9)/1000</f>
        <v>1</v>
      </c>
      <c r="M90" s="51">
        <f t="shared" si="8"/>
        <v>0</v>
      </c>
      <c r="N90" s="51">
        <f t="shared" si="9"/>
        <v>0</v>
      </c>
      <c r="O90" s="51">
        <f t="shared" si="10"/>
        <v>3.1500000000000004</v>
      </c>
      <c r="P90" s="51">
        <f t="shared" si="11"/>
        <v>0</v>
      </c>
      <c r="Q90" s="52">
        <f t="shared" si="7"/>
        <v>3.1500000000000004</v>
      </c>
      <c r="R90" s="43"/>
    </row>
    <row r="91" spans="1:18" ht="15.95" customHeight="1" x14ac:dyDescent="0.25">
      <c r="A91" s="19" t="s">
        <v>289</v>
      </c>
      <c r="B91" s="19" t="s">
        <v>291</v>
      </c>
      <c r="C91" s="33">
        <v>1</v>
      </c>
      <c r="D91" s="33">
        <v>1</v>
      </c>
      <c r="E91" s="33">
        <v>1</v>
      </c>
      <c r="F91" s="33">
        <v>30</v>
      </c>
      <c r="G91" s="33">
        <v>1</v>
      </c>
      <c r="H91" s="33" cm="1">
        <f t="array" ref="H91">G91*_xlfn.IFS(Настройки!$B$2="M",'Печатные изд.'!C91,Настройки!$B$2="L",'Печатные изд.'!D91,Настройки!$B$2="XL",'Печатные изд.'!E91)</f>
        <v>1</v>
      </c>
      <c r="I91" s="41">
        <f t="shared" si="6"/>
        <v>30</v>
      </c>
      <c r="J91" s="33" t="s">
        <v>517</v>
      </c>
      <c r="K91" s="41" cm="1">
        <f t="array" ref="K91">_xlfn.IFS(J91="Высоконагруженная",Настройки!$B$6,J91="Средне-нагруженная",Настройки!$B$7,J91="Ненагруженная",Настройки!$B$8,J91="Гибкая",Настройки!$B$9)</f>
        <v>1.05</v>
      </c>
      <c r="L91" s="41" cm="1">
        <f t="array" ref="L91">_xlfn.IFS(J91="Высоконагруженная",Настройки!$C$6,J91="Средне-нагруженная",Настройки!$C$7,J91="Ненагруженная",Настройки!$C$8,J91="Гибкая",Настройки!$C$9)/1000</f>
        <v>1</v>
      </c>
      <c r="M91" s="51">
        <f t="shared" si="8"/>
        <v>0</v>
      </c>
      <c r="N91" s="51">
        <f t="shared" si="9"/>
        <v>0</v>
      </c>
      <c r="O91" s="51">
        <f t="shared" si="10"/>
        <v>31.5</v>
      </c>
      <c r="P91" s="51">
        <f t="shared" si="11"/>
        <v>0</v>
      </c>
      <c r="Q91" s="52">
        <f t="shared" si="7"/>
        <v>31.5</v>
      </c>
      <c r="R91" s="43"/>
    </row>
    <row r="92" spans="1:18" ht="15.95" customHeight="1" x14ac:dyDescent="0.25">
      <c r="A92" s="19" t="s">
        <v>290</v>
      </c>
      <c r="B92" s="19" t="s">
        <v>291</v>
      </c>
      <c r="C92" s="33">
        <v>1</v>
      </c>
      <c r="D92" s="33">
        <v>1</v>
      </c>
      <c r="E92" s="33">
        <v>1</v>
      </c>
      <c r="F92" s="33">
        <v>30</v>
      </c>
      <c r="G92" s="33">
        <v>1</v>
      </c>
      <c r="H92" s="33" cm="1">
        <f t="array" ref="H92">G92*_xlfn.IFS(Настройки!$B$2="M",'Печатные изд.'!C92,Настройки!$B$2="L",'Печатные изд.'!D92,Настройки!$B$2="XL",'Печатные изд.'!E92)</f>
        <v>1</v>
      </c>
      <c r="I92" s="41">
        <f t="shared" si="6"/>
        <v>30</v>
      </c>
      <c r="J92" s="33" t="s">
        <v>517</v>
      </c>
      <c r="K92" s="41" cm="1">
        <f t="array" ref="K92">_xlfn.IFS(J92="Высоконагруженная",Настройки!$B$6,J92="Средне-нагруженная",Настройки!$B$7,J92="Ненагруженная",Настройки!$B$8,J92="Гибкая",Настройки!$B$9)</f>
        <v>1.05</v>
      </c>
      <c r="L92" s="41" cm="1">
        <f t="array" ref="L92">_xlfn.IFS(J92="Высоконагруженная",Настройки!$C$6,J92="Средне-нагруженная",Настройки!$C$7,J92="Ненагруженная",Настройки!$C$8,J92="Гибкая",Настройки!$C$9)/1000</f>
        <v>1</v>
      </c>
      <c r="M92" s="51">
        <f t="shared" si="8"/>
        <v>0</v>
      </c>
      <c r="N92" s="51">
        <f t="shared" si="9"/>
        <v>0</v>
      </c>
      <c r="O92" s="51">
        <f t="shared" si="10"/>
        <v>31.5</v>
      </c>
      <c r="P92" s="51">
        <f t="shared" si="11"/>
        <v>0</v>
      </c>
      <c r="Q92" s="52">
        <f t="shared" si="7"/>
        <v>31.5</v>
      </c>
      <c r="R92" s="43"/>
    </row>
    <row r="93" spans="1:18" ht="15.95" customHeight="1" x14ac:dyDescent="0.25">
      <c r="A93" s="19" t="s">
        <v>292</v>
      </c>
      <c r="B93" s="19" t="s">
        <v>293</v>
      </c>
      <c r="C93" s="33">
        <v>4</v>
      </c>
      <c r="D93" s="33">
        <v>4</v>
      </c>
      <c r="E93" s="33">
        <v>4</v>
      </c>
      <c r="F93" s="33">
        <v>6</v>
      </c>
      <c r="G93" s="33">
        <v>1</v>
      </c>
      <c r="H93" s="33" cm="1">
        <f t="array" ref="H93">G93*_xlfn.IFS(Настройки!$B$2="M",'Печатные изд.'!C93,Настройки!$B$2="L",'Печатные изд.'!D93,Настройки!$B$2="XL",'Печатные изд.'!E93)</f>
        <v>4</v>
      </c>
      <c r="I93" s="41">
        <f t="shared" si="6"/>
        <v>24</v>
      </c>
      <c r="J93" s="33" t="s">
        <v>517</v>
      </c>
      <c r="K93" s="41" cm="1">
        <f t="array" ref="K93">_xlfn.IFS(J93="Высоконагруженная",Настройки!$B$6,J93="Средне-нагруженная",Настройки!$B$7,J93="Ненагруженная",Настройки!$B$8,J93="Гибкая",Настройки!$B$9)</f>
        <v>1.05</v>
      </c>
      <c r="L93" s="41" cm="1">
        <f t="array" ref="L93">_xlfn.IFS(J93="Высоконагруженная",Настройки!$C$6,J93="Средне-нагруженная",Настройки!$C$7,J93="Ненагруженная",Настройки!$C$8,J93="Гибкая",Настройки!$C$9)/1000</f>
        <v>1</v>
      </c>
      <c r="M93" s="51">
        <f t="shared" si="8"/>
        <v>0</v>
      </c>
      <c r="N93" s="51">
        <f t="shared" si="9"/>
        <v>0</v>
      </c>
      <c r="O93" s="51">
        <f t="shared" si="10"/>
        <v>25.200000000000003</v>
      </c>
      <c r="P93" s="51">
        <f t="shared" si="11"/>
        <v>0</v>
      </c>
      <c r="Q93" s="52">
        <f t="shared" si="7"/>
        <v>25.200000000000003</v>
      </c>
      <c r="R93" s="43"/>
    </row>
    <row r="94" spans="1:18" ht="15.95" customHeight="1" x14ac:dyDescent="0.25">
      <c r="A94" s="19" t="s">
        <v>294</v>
      </c>
      <c r="B94" s="19" t="s">
        <v>295</v>
      </c>
      <c r="C94" s="33">
        <v>1</v>
      </c>
      <c r="D94" s="33">
        <v>1</v>
      </c>
      <c r="E94" s="33">
        <v>1</v>
      </c>
      <c r="F94" s="33">
        <v>56</v>
      </c>
      <c r="G94" s="33">
        <v>1</v>
      </c>
      <c r="H94" s="33" cm="1">
        <f t="array" ref="H94">G94*_xlfn.IFS(Настройки!$B$2="M",'Печатные изд.'!C94,Настройки!$B$2="L",'Печатные изд.'!D94,Настройки!$B$2="XL",'Печатные изд.'!E94)</f>
        <v>1</v>
      </c>
      <c r="I94" s="41">
        <f t="shared" si="6"/>
        <v>56</v>
      </c>
      <c r="J94" s="33" t="s">
        <v>517</v>
      </c>
      <c r="K94" s="41" cm="1">
        <f t="array" ref="K94">_xlfn.IFS(J94="Высоконагруженная",Настройки!$B$6,J94="Средне-нагруженная",Настройки!$B$7,J94="Ненагруженная",Настройки!$B$8,J94="Гибкая",Настройки!$B$9)</f>
        <v>1.05</v>
      </c>
      <c r="L94" s="41" cm="1">
        <f t="array" ref="L94">_xlfn.IFS(J94="Высоконагруженная",Настройки!$C$6,J94="Средне-нагруженная",Настройки!$C$7,J94="Ненагруженная",Настройки!$C$8,J94="Гибкая",Настройки!$C$9)/1000</f>
        <v>1</v>
      </c>
      <c r="M94" s="51">
        <f t="shared" si="8"/>
        <v>0</v>
      </c>
      <c r="N94" s="51">
        <f t="shared" si="9"/>
        <v>0</v>
      </c>
      <c r="O94" s="51">
        <f t="shared" si="10"/>
        <v>58.800000000000004</v>
      </c>
      <c r="P94" s="51">
        <f t="shared" si="11"/>
        <v>0</v>
      </c>
      <c r="Q94" s="52">
        <f t="shared" si="7"/>
        <v>58.800000000000004</v>
      </c>
      <c r="R94" s="43"/>
    </row>
    <row r="95" spans="1:18" ht="15.95" customHeight="1" x14ac:dyDescent="0.25">
      <c r="A95" s="19" t="s">
        <v>296</v>
      </c>
      <c r="B95" s="19" t="s">
        <v>297</v>
      </c>
      <c r="C95" s="33">
        <v>1</v>
      </c>
      <c r="D95" s="33">
        <v>1</v>
      </c>
      <c r="E95" s="33">
        <v>1</v>
      </c>
      <c r="F95" s="33">
        <v>42</v>
      </c>
      <c r="G95" s="33">
        <v>1</v>
      </c>
      <c r="H95" s="33" cm="1">
        <f t="array" ref="H95">G95*_xlfn.IFS(Настройки!$B$2="M",'Печатные изд.'!C95,Настройки!$B$2="L",'Печатные изд.'!D95,Настройки!$B$2="XL",'Печатные изд.'!E95)</f>
        <v>1</v>
      </c>
      <c r="I95" s="41">
        <f t="shared" si="6"/>
        <v>42</v>
      </c>
      <c r="J95" s="33" t="s">
        <v>517</v>
      </c>
      <c r="K95" s="41" cm="1">
        <f t="array" ref="K95">_xlfn.IFS(J95="Высоконагруженная",Настройки!$B$6,J95="Средне-нагруженная",Настройки!$B$7,J95="Ненагруженная",Настройки!$B$8,J95="Гибкая",Настройки!$B$9)</f>
        <v>1.05</v>
      </c>
      <c r="L95" s="41" cm="1">
        <f t="array" ref="L95">_xlfn.IFS(J95="Высоконагруженная",Настройки!$C$6,J95="Средне-нагруженная",Настройки!$C$7,J95="Ненагруженная",Настройки!$C$8,J95="Гибкая",Настройки!$C$9)/1000</f>
        <v>1</v>
      </c>
      <c r="M95" s="51">
        <f t="shared" si="8"/>
        <v>0</v>
      </c>
      <c r="N95" s="51">
        <f t="shared" si="9"/>
        <v>0</v>
      </c>
      <c r="O95" s="51">
        <f t="shared" si="10"/>
        <v>44.1</v>
      </c>
      <c r="P95" s="51">
        <f t="shared" si="11"/>
        <v>0</v>
      </c>
      <c r="Q95" s="52">
        <f t="shared" si="7"/>
        <v>44.1</v>
      </c>
      <c r="R95" s="43"/>
    </row>
    <row r="96" spans="1:18" ht="15.95" customHeight="1" x14ac:dyDescent="0.25">
      <c r="A96" s="19" t="s">
        <v>298</v>
      </c>
      <c r="B96" s="19" t="s">
        <v>299</v>
      </c>
      <c r="C96" s="33">
        <v>1</v>
      </c>
      <c r="D96" s="33">
        <v>1</v>
      </c>
      <c r="E96" s="33">
        <v>1</v>
      </c>
      <c r="F96" s="33">
        <v>19</v>
      </c>
      <c r="G96" s="33">
        <v>1</v>
      </c>
      <c r="H96" s="33" cm="1">
        <f t="array" ref="H96">G96*_xlfn.IFS(Настройки!$B$2="M",'Печатные изд.'!C96,Настройки!$B$2="L",'Печатные изд.'!D96,Настройки!$B$2="XL",'Печатные изд.'!E96)</f>
        <v>1</v>
      </c>
      <c r="I96" s="41">
        <f t="shared" si="6"/>
        <v>19</v>
      </c>
      <c r="J96" s="33" t="s">
        <v>517</v>
      </c>
      <c r="K96" s="41" cm="1">
        <f t="array" ref="K96">_xlfn.IFS(J96="Высоконагруженная",Настройки!$B$6,J96="Средне-нагруженная",Настройки!$B$7,J96="Ненагруженная",Настройки!$B$8,J96="Гибкая",Настройки!$B$9)</f>
        <v>1.05</v>
      </c>
      <c r="L96" s="41" cm="1">
        <f t="array" ref="L96">_xlfn.IFS(J96="Высоконагруженная",Настройки!$C$6,J96="Средне-нагруженная",Настройки!$C$7,J96="Ненагруженная",Настройки!$C$8,J96="Гибкая",Настройки!$C$9)/1000</f>
        <v>1</v>
      </c>
      <c r="M96" s="51">
        <f t="shared" si="8"/>
        <v>0</v>
      </c>
      <c r="N96" s="51">
        <f t="shared" si="9"/>
        <v>0</v>
      </c>
      <c r="O96" s="51">
        <f t="shared" si="10"/>
        <v>19.95</v>
      </c>
      <c r="P96" s="51">
        <f t="shared" si="11"/>
        <v>0</v>
      </c>
      <c r="Q96" s="52">
        <f t="shared" si="7"/>
        <v>19.95</v>
      </c>
      <c r="R96" s="43"/>
    </row>
    <row r="97" spans="1:18" ht="15.95" customHeight="1" x14ac:dyDescent="0.25">
      <c r="A97" s="19" t="s">
        <v>300</v>
      </c>
      <c r="B97" s="19" t="s">
        <v>301</v>
      </c>
      <c r="C97" s="33">
        <v>1</v>
      </c>
      <c r="D97" s="33">
        <v>1</v>
      </c>
      <c r="E97" s="33">
        <v>1</v>
      </c>
      <c r="F97" s="33">
        <v>19</v>
      </c>
      <c r="G97" s="33">
        <v>1</v>
      </c>
      <c r="H97" s="33" cm="1">
        <f t="array" ref="H97">G97*_xlfn.IFS(Настройки!$B$2="M",'Печатные изд.'!C97,Настройки!$B$2="L",'Печатные изд.'!D97,Настройки!$B$2="XL",'Печатные изд.'!E97)</f>
        <v>1</v>
      </c>
      <c r="I97" s="41">
        <f t="shared" si="6"/>
        <v>19</v>
      </c>
      <c r="J97" s="33" t="s">
        <v>517</v>
      </c>
      <c r="K97" s="41" cm="1">
        <f t="array" ref="K97">_xlfn.IFS(J97="Высоконагруженная",Настройки!$B$6,J97="Средне-нагруженная",Настройки!$B$7,J97="Ненагруженная",Настройки!$B$8,J97="Гибкая",Настройки!$B$9)</f>
        <v>1.05</v>
      </c>
      <c r="L97" s="41" cm="1">
        <f t="array" ref="L97">_xlfn.IFS(J97="Высоконагруженная",Настройки!$C$6,J97="Средне-нагруженная",Настройки!$C$7,J97="Ненагруженная",Настройки!$C$8,J97="Гибкая",Настройки!$C$9)/1000</f>
        <v>1</v>
      </c>
      <c r="M97" s="51">
        <f t="shared" si="8"/>
        <v>0</v>
      </c>
      <c r="N97" s="51">
        <f t="shared" si="9"/>
        <v>0</v>
      </c>
      <c r="O97" s="51">
        <f t="shared" si="10"/>
        <v>19.95</v>
      </c>
      <c r="P97" s="51">
        <f t="shared" si="11"/>
        <v>0</v>
      </c>
      <c r="Q97" s="52">
        <f t="shared" si="7"/>
        <v>19.95</v>
      </c>
      <c r="R97" s="43"/>
    </row>
    <row r="98" spans="1:18" ht="15.95" customHeight="1" x14ac:dyDescent="0.25">
      <c r="A98" s="19" t="s">
        <v>302</v>
      </c>
      <c r="B98" s="19" t="s">
        <v>303</v>
      </c>
      <c r="C98" s="33">
        <v>1</v>
      </c>
      <c r="D98" s="33">
        <v>1</v>
      </c>
      <c r="E98" s="33">
        <v>1</v>
      </c>
      <c r="F98" s="33">
        <v>8</v>
      </c>
      <c r="G98" s="33">
        <v>1</v>
      </c>
      <c r="H98" s="33" cm="1">
        <f t="array" ref="H98">G98*_xlfn.IFS(Настройки!$B$2="M",'Печатные изд.'!C98,Настройки!$B$2="L",'Печатные изд.'!D98,Настройки!$B$2="XL",'Печатные изд.'!E98)</f>
        <v>1</v>
      </c>
      <c r="I98" s="41">
        <f t="shared" si="6"/>
        <v>8</v>
      </c>
      <c r="J98" s="33" t="s">
        <v>517</v>
      </c>
      <c r="K98" s="41" cm="1">
        <f t="array" ref="K98">_xlfn.IFS(J98="Высоконагруженная",Настройки!$B$6,J98="Средне-нагруженная",Настройки!$B$7,J98="Ненагруженная",Настройки!$B$8,J98="Гибкая",Настройки!$B$9)</f>
        <v>1.05</v>
      </c>
      <c r="L98" s="41" cm="1">
        <f t="array" ref="L98">_xlfn.IFS(J98="Высоконагруженная",Настройки!$C$6,J98="Средне-нагруженная",Настройки!$C$7,J98="Ненагруженная",Настройки!$C$8,J98="Гибкая",Настройки!$C$9)/1000</f>
        <v>1</v>
      </c>
      <c r="M98" s="51">
        <f t="shared" si="8"/>
        <v>0</v>
      </c>
      <c r="N98" s="51">
        <f t="shared" si="9"/>
        <v>0</v>
      </c>
      <c r="O98" s="51">
        <f t="shared" si="10"/>
        <v>8.4</v>
      </c>
      <c r="P98" s="51">
        <f t="shared" si="11"/>
        <v>0</v>
      </c>
      <c r="Q98" s="52">
        <f t="shared" si="7"/>
        <v>8.4</v>
      </c>
      <c r="R98" s="43"/>
    </row>
    <row r="99" spans="1:18" ht="15.95" customHeight="1" x14ac:dyDescent="0.25">
      <c r="A99" s="19" t="s">
        <v>304</v>
      </c>
      <c r="B99" s="19" t="s">
        <v>305</v>
      </c>
      <c r="C99" s="33">
        <v>1</v>
      </c>
      <c r="D99" s="33">
        <v>1</v>
      </c>
      <c r="E99" s="33">
        <v>1</v>
      </c>
      <c r="F99" s="33">
        <v>25</v>
      </c>
      <c r="G99" s="33">
        <v>1</v>
      </c>
      <c r="H99" s="33" cm="1">
        <f t="array" ref="H99">G99*_xlfn.IFS(Настройки!$B$2="M",'Печатные изд.'!C99,Настройки!$B$2="L",'Печатные изд.'!D99,Настройки!$B$2="XL",'Печатные изд.'!E99)</f>
        <v>1</v>
      </c>
      <c r="I99" s="41">
        <f t="shared" si="6"/>
        <v>25</v>
      </c>
      <c r="J99" s="33" t="s">
        <v>517</v>
      </c>
      <c r="K99" s="41" cm="1">
        <f t="array" ref="K99">_xlfn.IFS(J99="Высоконагруженная",Настройки!$B$6,J99="Средне-нагруженная",Настройки!$B$7,J99="Ненагруженная",Настройки!$B$8,J99="Гибкая",Настройки!$B$9)</f>
        <v>1.05</v>
      </c>
      <c r="L99" s="41" cm="1">
        <f t="array" ref="L99">_xlfn.IFS(J99="Высоконагруженная",Настройки!$C$6,J99="Средне-нагруженная",Настройки!$C$7,J99="Ненагруженная",Настройки!$C$8,J99="Гибкая",Настройки!$C$9)/1000</f>
        <v>1</v>
      </c>
      <c r="M99" s="51">
        <f t="shared" si="8"/>
        <v>0</v>
      </c>
      <c r="N99" s="51">
        <f t="shared" si="9"/>
        <v>0</v>
      </c>
      <c r="O99" s="51">
        <f t="shared" si="10"/>
        <v>26.25</v>
      </c>
      <c r="P99" s="51">
        <f t="shared" si="11"/>
        <v>0</v>
      </c>
      <c r="Q99" s="52">
        <f t="shared" si="7"/>
        <v>26.25</v>
      </c>
      <c r="R99" s="43"/>
    </row>
    <row r="100" spans="1:18" ht="15.95" customHeight="1" x14ac:dyDescent="0.25">
      <c r="A100" s="19" t="s">
        <v>306</v>
      </c>
      <c r="B100" s="19" t="s">
        <v>307</v>
      </c>
      <c r="C100" s="33">
        <v>1</v>
      </c>
      <c r="D100" s="33">
        <v>1</v>
      </c>
      <c r="E100" s="33">
        <v>1</v>
      </c>
      <c r="F100" s="33">
        <v>21</v>
      </c>
      <c r="G100" s="33">
        <v>1</v>
      </c>
      <c r="H100" s="33" cm="1">
        <f t="array" ref="H100">G100*_xlfn.IFS(Настройки!$B$2="M",'Печатные изд.'!C100,Настройки!$B$2="L",'Печатные изд.'!D100,Настройки!$B$2="XL",'Печатные изд.'!E100)</f>
        <v>1</v>
      </c>
      <c r="I100" s="41">
        <f t="shared" si="6"/>
        <v>21</v>
      </c>
      <c r="J100" s="33" t="s">
        <v>517</v>
      </c>
      <c r="K100" s="41" cm="1">
        <f t="array" ref="K100">_xlfn.IFS(J100="Высоконагруженная",Настройки!$B$6,J100="Средне-нагруженная",Настройки!$B$7,J100="Ненагруженная",Настройки!$B$8,J100="Гибкая",Настройки!$B$9)</f>
        <v>1.05</v>
      </c>
      <c r="L100" s="41" cm="1">
        <f t="array" ref="L100">_xlfn.IFS(J100="Высоконагруженная",Настройки!$C$6,J100="Средне-нагруженная",Настройки!$C$7,J100="Ненагруженная",Настройки!$C$8,J100="Гибкая",Настройки!$C$9)/1000</f>
        <v>1</v>
      </c>
      <c r="M100" s="51">
        <f t="shared" si="8"/>
        <v>0</v>
      </c>
      <c r="N100" s="51">
        <f t="shared" si="9"/>
        <v>0</v>
      </c>
      <c r="O100" s="51">
        <f t="shared" si="10"/>
        <v>22.05</v>
      </c>
      <c r="P100" s="51">
        <f t="shared" si="11"/>
        <v>0</v>
      </c>
      <c r="Q100" s="52">
        <f t="shared" si="7"/>
        <v>22.05</v>
      </c>
      <c r="R100" s="43"/>
    </row>
    <row r="101" spans="1:18" ht="15.95" customHeight="1" x14ac:dyDescent="0.25">
      <c r="A101" s="19" t="s">
        <v>308</v>
      </c>
      <c r="B101" s="19" t="s">
        <v>309</v>
      </c>
      <c r="C101" s="33">
        <v>1</v>
      </c>
      <c r="D101" s="33">
        <v>1</v>
      </c>
      <c r="E101" s="33">
        <v>1</v>
      </c>
      <c r="F101" s="33">
        <v>27</v>
      </c>
      <c r="G101" s="33">
        <v>1</v>
      </c>
      <c r="H101" s="33" cm="1">
        <f t="array" ref="H101">G101*_xlfn.IFS(Настройки!$B$2="M",'Печатные изд.'!C101,Настройки!$B$2="L",'Печатные изд.'!D101,Настройки!$B$2="XL",'Печатные изд.'!E101)</f>
        <v>1</v>
      </c>
      <c r="I101" s="41">
        <f t="shared" si="6"/>
        <v>27</v>
      </c>
      <c r="J101" s="33" t="s">
        <v>517</v>
      </c>
      <c r="K101" s="41" cm="1">
        <f t="array" ref="K101">_xlfn.IFS(J101="Высоконагруженная",Настройки!$B$6,J101="Средне-нагруженная",Настройки!$B$7,J101="Ненагруженная",Настройки!$B$8,J101="Гибкая",Настройки!$B$9)</f>
        <v>1.05</v>
      </c>
      <c r="L101" s="41" cm="1">
        <f t="array" ref="L101">_xlfn.IFS(J101="Высоконагруженная",Настройки!$C$6,J101="Средне-нагруженная",Настройки!$C$7,J101="Ненагруженная",Настройки!$C$8,J101="Гибкая",Настройки!$C$9)/1000</f>
        <v>1</v>
      </c>
      <c r="M101" s="51">
        <f t="shared" si="8"/>
        <v>0</v>
      </c>
      <c r="N101" s="51">
        <f t="shared" si="9"/>
        <v>0</v>
      </c>
      <c r="O101" s="51">
        <f t="shared" si="10"/>
        <v>28.35</v>
      </c>
      <c r="P101" s="51">
        <f t="shared" si="11"/>
        <v>0</v>
      </c>
      <c r="Q101" s="52">
        <f t="shared" si="7"/>
        <v>28.35</v>
      </c>
      <c r="R101" s="43"/>
    </row>
    <row r="102" spans="1:18" ht="15.95" customHeight="1" x14ac:dyDescent="0.25">
      <c r="A102" s="19" t="s">
        <v>310</v>
      </c>
      <c r="B102" s="19" t="s">
        <v>311</v>
      </c>
      <c r="C102" s="33">
        <v>1</v>
      </c>
      <c r="D102" s="33">
        <v>1</v>
      </c>
      <c r="E102" s="33">
        <v>1</v>
      </c>
      <c r="F102" s="33">
        <v>9</v>
      </c>
      <c r="G102" s="33">
        <v>1</v>
      </c>
      <c r="H102" s="33" cm="1">
        <f t="array" ref="H102">G102*_xlfn.IFS(Настройки!$B$2="M",'Печатные изд.'!C102,Настройки!$B$2="L",'Печатные изд.'!D102,Настройки!$B$2="XL",'Печатные изд.'!E102)</f>
        <v>1</v>
      </c>
      <c r="I102" s="41">
        <f t="shared" si="6"/>
        <v>9</v>
      </c>
      <c r="J102" s="33" t="s">
        <v>517</v>
      </c>
      <c r="K102" s="41" cm="1">
        <f t="array" ref="K102">_xlfn.IFS(J102="Высоконагруженная",Настройки!$B$6,J102="Средне-нагруженная",Настройки!$B$7,J102="Ненагруженная",Настройки!$B$8,J102="Гибкая",Настройки!$B$9)</f>
        <v>1.05</v>
      </c>
      <c r="L102" s="41" cm="1">
        <f t="array" ref="L102">_xlfn.IFS(J102="Высоконагруженная",Настройки!$C$6,J102="Средне-нагруженная",Настройки!$C$7,J102="Ненагруженная",Настройки!$C$8,J102="Гибкая",Настройки!$C$9)/1000</f>
        <v>1</v>
      </c>
      <c r="M102" s="51">
        <f t="shared" si="8"/>
        <v>0</v>
      </c>
      <c r="N102" s="51">
        <f t="shared" si="9"/>
        <v>0</v>
      </c>
      <c r="O102" s="51">
        <f t="shared" si="10"/>
        <v>9.4500000000000011</v>
      </c>
      <c r="P102" s="51">
        <f t="shared" si="11"/>
        <v>0</v>
      </c>
      <c r="Q102" s="52">
        <f t="shared" si="7"/>
        <v>9.4500000000000011</v>
      </c>
      <c r="R102" s="43"/>
    </row>
    <row r="103" spans="1:18" ht="15.95" customHeight="1" x14ac:dyDescent="0.25">
      <c r="A103" s="19" t="s">
        <v>312</v>
      </c>
      <c r="B103" s="19" t="s">
        <v>313</v>
      </c>
      <c r="C103" s="33">
        <v>1</v>
      </c>
      <c r="D103" s="33">
        <v>1</v>
      </c>
      <c r="E103" s="33">
        <v>1</v>
      </c>
      <c r="F103" s="33">
        <v>86</v>
      </c>
      <c r="G103" s="33">
        <v>1</v>
      </c>
      <c r="H103" s="33" cm="1">
        <f t="array" ref="H103">G103*_xlfn.IFS(Настройки!$B$2="M",'Печатные изд.'!C103,Настройки!$B$2="L",'Печатные изд.'!D103,Настройки!$B$2="XL",'Печатные изд.'!E103)</f>
        <v>1</v>
      </c>
      <c r="I103" s="41">
        <f t="shared" si="6"/>
        <v>86</v>
      </c>
      <c r="J103" s="33" t="s">
        <v>517</v>
      </c>
      <c r="K103" s="41" cm="1">
        <f t="array" ref="K103">_xlfn.IFS(J103="Высоконагруженная",Настройки!$B$6,J103="Средне-нагруженная",Настройки!$B$7,J103="Ненагруженная",Настройки!$B$8,J103="Гибкая",Настройки!$B$9)</f>
        <v>1.05</v>
      </c>
      <c r="L103" s="41" cm="1">
        <f t="array" ref="L103">_xlfn.IFS(J103="Высоконагруженная",Настройки!$C$6,J103="Средне-нагруженная",Настройки!$C$7,J103="Ненагруженная",Настройки!$C$8,J103="Гибкая",Настройки!$C$9)/1000</f>
        <v>1</v>
      </c>
      <c r="M103" s="51">
        <f t="shared" si="8"/>
        <v>0</v>
      </c>
      <c r="N103" s="51">
        <f t="shared" si="9"/>
        <v>0</v>
      </c>
      <c r="O103" s="51">
        <f t="shared" si="10"/>
        <v>90.3</v>
      </c>
      <c r="P103" s="51">
        <f t="shared" si="11"/>
        <v>0</v>
      </c>
      <c r="Q103" s="52">
        <f t="shared" si="7"/>
        <v>90.3</v>
      </c>
      <c r="R103" s="43"/>
    </row>
    <row r="104" spans="1:18" ht="15.95" customHeight="1" x14ac:dyDescent="0.25">
      <c r="A104" s="19" t="s">
        <v>314</v>
      </c>
      <c r="B104" s="19" t="s">
        <v>315</v>
      </c>
      <c r="C104" s="33">
        <v>2</v>
      </c>
      <c r="D104" s="33">
        <v>2</v>
      </c>
      <c r="E104" s="33">
        <v>2</v>
      </c>
      <c r="F104" s="33">
        <v>15</v>
      </c>
      <c r="G104" s="33">
        <v>1</v>
      </c>
      <c r="H104" s="33" cm="1">
        <f t="array" ref="H104">G104*_xlfn.IFS(Настройки!$B$2="M",'Печатные изд.'!C104,Настройки!$B$2="L",'Печатные изд.'!D104,Настройки!$B$2="XL",'Печатные изд.'!E104)</f>
        <v>2</v>
      </c>
      <c r="I104" s="41">
        <f t="shared" si="6"/>
        <v>30</v>
      </c>
      <c r="J104" s="33" t="s">
        <v>517</v>
      </c>
      <c r="K104" s="41" cm="1">
        <f t="array" ref="K104">_xlfn.IFS(J104="Высоконагруженная",Настройки!$B$6,J104="Средне-нагруженная",Настройки!$B$7,J104="Ненагруженная",Настройки!$B$8,J104="Гибкая",Настройки!$B$9)</f>
        <v>1.05</v>
      </c>
      <c r="L104" s="41" cm="1">
        <f t="array" ref="L104">_xlfn.IFS(J104="Высоконагруженная",Настройки!$C$6,J104="Средне-нагруженная",Настройки!$C$7,J104="Ненагруженная",Настройки!$C$8,J104="Гибкая",Настройки!$C$9)/1000</f>
        <v>1</v>
      </c>
      <c r="M104" s="51">
        <f t="shared" si="8"/>
        <v>0</v>
      </c>
      <c r="N104" s="51">
        <f t="shared" si="9"/>
        <v>0</v>
      </c>
      <c r="O104" s="51">
        <f t="shared" si="10"/>
        <v>31.5</v>
      </c>
      <c r="P104" s="51">
        <f t="shared" si="11"/>
        <v>0</v>
      </c>
      <c r="Q104" s="52">
        <f t="shared" si="7"/>
        <v>31.5</v>
      </c>
      <c r="R104" s="43"/>
    </row>
    <row r="105" spans="1:18" ht="15.95" customHeight="1" x14ac:dyDescent="0.25">
      <c r="A105" s="19" t="s">
        <v>316</v>
      </c>
      <c r="B105" s="19" t="s">
        <v>317</v>
      </c>
      <c r="C105" s="33">
        <v>1</v>
      </c>
      <c r="D105" s="33">
        <v>1</v>
      </c>
      <c r="E105" s="33">
        <v>1</v>
      </c>
      <c r="F105" s="33">
        <v>30</v>
      </c>
      <c r="G105" s="33">
        <v>1</v>
      </c>
      <c r="H105" s="33" cm="1">
        <f t="array" ref="H105">G105*_xlfn.IFS(Настройки!$B$2="M",'Печатные изд.'!C105,Настройки!$B$2="L",'Печатные изд.'!D105,Настройки!$B$2="XL",'Печатные изд.'!E105)</f>
        <v>1</v>
      </c>
      <c r="I105" s="41">
        <f t="shared" si="6"/>
        <v>30</v>
      </c>
      <c r="J105" s="33" t="s">
        <v>517</v>
      </c>
      <c r="K105" s="41" cm="1">
        <f t="array" ref="K105">_xlfn.IFS(J105="Высоконагруженная",Настройки!$B$6,J105="Средне-нагруженная",Настройки!$B$7,J105="Ненагруженная",Настройки!$B$8,J105="Гибкая",Настройки!$B$9)</f>
        <v>1.05</v>
      </c>
      <c r="L105" s="41" cm="1">
        <f t="array" ref="L105">_xlfn.IFS(J105="Высоконагруженная",Настройки!$C$6,J105="Средне-нагруженная",Настройки!$C$7,J105="Ненагруженная",Настройки!$C$8,J105="Гибкая",Настройки!$C$9)/1000</f>
        <v>1</v>
      </c>
      <c r="M105" s="51">
        <f t="shared" si="8"/>
        <v>0</v>
      </c>
      <c r="N105" s="51">
        <f t="shared" si="9"/>
        <v>0</v>
      </c>
      <c r="O105" s="51">
        <f t="shared" si="10"/>
        <v>31.5</v>
      </c>
      <c r="P105" s="51">
        <f t="shared" si="11"/>
        <v>0</v>
      </c>
      <c r="Q105" s="52">
        <f t="shared" si="7"/>
        <v>31.5</v>
      </c>
      <c r="R105" s="43"/>
    </row>
    <row r="106" spans="1:18" ht="15.95" customHeight="1" x14ac:dyDescent="0.25">
      <c r="A106" s="19" t="s">
        <v>318</v>
      </c>
      <c r="B106" s="19" t="s">
        <v>319</v>
      </c>
      <c r="C106" s="33">
        <v>1</v>
      </c>
      <c r="D106" s="33">
        <v>1</v>
      </c>
      <c r="E106" s="33">
        <v>1</v>
      </c>
      <c r="F106" s="33">
        <v>47</v>
      </c>
      <c r="G106" s="33">
        <v>1</v>
      </c>
      <c r="H106" s="33" cm="1">
        <f t="array" ref="H106">G106*_xlfn.IFS(Настройки!$B$2="M",'Печатные изд.'!C106,Настройки!$B$2="L",'Печатные изд.'!D106,Настройки!$B$2="XL",'Печатные изд.'!E106)</f>
        <v>1</v>
      </c>
      <c r="I106" s="41">
        <f t="shared" si="6"/>
        <v>47</v>
      </c>
      <c r="J106" s="33" t="s">
        <v>517</v>
      </c>
      <c r="K106" s="41" cm="1">
        <f t="array" ref="K106">_xlfn.IFS(J106="Высоконагруженная",Настройки!$B$6,J106="Средне-нагруженная",Настройки!$B$7,J106="Ненагруженная",Настройки!$B$8,J106="Гибкая",Настройки!$B$9)</f>
        <v>1.05</v>
      </c>
      <c r="L106" s="41" cm="1">
        <f t="array" ref="L106">_xlfn.IFS(J106="Высоконагруженная",Настройки!$C$6,J106="Средне-нагруженная",Настройки!$C$7,J106="Ненагруженная",Настройки!$C$8,J106="Гибкая",Настройки!$C$9)/1000</f>
        <v>1</v>
      </c>
      <c r="M106" s="51">
        <f t="shared" si="8"/>
        <v>0</v>
      </c>
      <c r="N106" s="51">
        <f t="shared" si="9"/>
        <v>0</v>
      </c>
      <c r="O106" s="51">
        <f t="shared" si="10"/>
        <v>49.35</v>
      </c>
      <c r="P106" s="51">
        <f t="shared" si="11"/>
        <v>0</v>
      </c>
      <c r="Q106" s="52">
        <f t="shared" si="7"/>
        <v>49.35</v>
      </c>
      <c r="R106" s="43"/>
    </row>
    <row r="107" spans="1:18" ht="15.95" customHeight="1" x14ac:dyDescent="0.25">
      <c r="A107" s="19" t="s">
        <v>320</v>
      </c>
      <c r="B107" s="19" t="s">
        <v>321</v>
      </c>
      <c r="C107" s="33">
        <v>2</v>
      </c>
      <c r="D107" s="33">
        <v>2</v>
      </c>
      <c r="E107" s="33">
        <v>2</v>
      </c>
      <c r="F107" s="33">
        <v>20</v>
      </c>
      <c r="G107" s="33">
        <v>1</v>
      </c>
      <c r="H107" s="33" cm="1">
        <f t="array" ref="H107">G107*_xlfn.IFS(Настройки!$B$2="M",'Печатные изд.'!C107,Настройки!$B$2="L",'Печатные изд.'!D107,Настройки!$B$2="XL",'Печатные изд.'!E107)</f>
        <v>2</v>
      </c>
      <c r="I107" s="41">
        <f t="shared" si="6"/>
        <v>40</v>
      </c>
      <c r="J107" s="33" t="s">
        <v>517</v>
      </c>
      <c r="K107" s="41" cm="1">
        <f t="array" ref="K107">_xlfn.IFS(J107="Высоконагруженная",Настройки!$B$6,J107="Средне-нагруженная",Настройки!$B$7,J107="Ненагруженная",Настройки!$B$8,J107="Гибкая",Настройки!$B$9)</f>
        <v>1.05</v>
      </c>
      <c r="L107" s="41" cm="1">
        <f t="array" ref="L107">_xlfn.IFS(J107="Высоконагруженная",Настройки!$C$6,J107="Средне-нагруженная",Настройки!$C$7,J107="Ненагруженная",Настройки!$C$8,J107="Гибкая",Настройки!$C$9)/1000</f>
        <v>1</v>
      </c>
      <c r="M107" s="51">
        <f t="shared" si="8"/>
        <v>0</v>
      </c>
      <c r="N107" s="51">
        <f t="shared" si="9"/>
        <v>0</v>
      </c>
      <c r="O107" s="51">
        <f t="shared" si="10"/>
        <v>42</v>
      </c>
      <c r="P107" s="51">
        <f t="shared" si="11"/>
        <v>0</v>
      </c>
      <c r="Q107" s="52">
        <f t="shared" si="7"/>
        <v>42</v>
      </c>
      <c r="R107" s="43"/>
    </row>
    <row r="108" spans="1:18" ht="15.95" customHeight="1" x14ac:dyDescent="0.25">
      <c r="A108" s="19" t="s">
        <v>322</v>
      </c>
      <c r="B108" s="19" t="s">
        <v>323</v>
      </c>
      <c r="C108" s="33">
        <v>8</v>
      </c>
      <c r="D108" s="33">
        <v>8</v>
      </c>
      <c r="E108" s="33">
        <v>8</v>
      </c>
      <c r="F108" s="33">
        <v>6</v>
      </c>
      <c r="G108" s="33">
        <v>1</v>
      </c>
      <c r="H108" s="33" cm="1">
        <f t="array" ref="H108">G108*_xlfn.IFS(Настройки!$B$2="M",'Печатные изд.'!C108,Настройки!$B$2="L",'Печатные изд.'!D108,Настройки!$B$2="XL",'Печатные изд.'!E108)</f>
        <v>8</v>
      </c>
      <c r="I108" s="41">
        <f t="shared" si="6"/>
        <v>48</v>
      </c>
      <c r="J108" s="33" t="s">
        <v>516</v>
      </c>
      <c r="K108" s="41" cm="1">
        <f t="array" ref="K108">_xlfn.IFS(J108="Высоконагруженная",Настройки!$B$6,J108="Средне-нагруженная",Настройки!$B$7,J108="Ненагруженная",Настройки!$B$8,J108="Гибкая",Настройки!$B$9)</f>
        <v>1.1499999999999999</v>
      </c>
      <c r="L108" s="41" cm="1">
        <f t="array" ref="L108">_xlfn.IFS(J108="Высоконагруженная",Настройки!$C$6,J108="Средне-нагруженная",Настройки!$C$7,J108="Ненагруженная",Настройки!$C$8,J108="Гибкая",Настройки!$C$9)/1000</f>
        <v>2</v>
      </c>
      <c r="M108" s="51">
        <f t="shared" si="8"/>
        <v>0</v>
      </c>
      <c r="N108" s="51">
        <f t="shared" si="9"/>
        <v>55.199999999999996</v>
      </c>
      <c r="O108" s="51">
        <f t="shared" si="10"/>
        <v>0</v>
      </c>
      <c r="P108" s="51">
        <f t="shared" si="11"/>
        <v>0</v>
      </c>
      <c r="Q108" s="52">
        <f t="shared" si="7"/>
        <v>110.39999999999999</v>
      </c>
      <c r="R108" s="43"/>
    </row>
    <row r="109" spans="1:18" ht="15.95" customHeight="1" x14ac:dyDescent="0.25">
      <c r="A109" s="19" t="s">
        <v>324</v>
      </c>
      <c r="B109" s="19" t="s">
        <v>325</v>
      </c>
      <c r="C109" s="33">
        <v>1</v>
      </c>
      <c r="D109" s="33">
        <v>1</v>
      </c>
      <c r="E109" s="33">
        <v>1</v>
      </c>
      <c r="F109" s="33">
        <v>56</v>
      </c>
      <c r="G109" s="33">
        <v>1</v>
      </c>
      <c r="H109" s="33" cm="1">
        <f t="array" ref="H109">G109*_xlfn.IFS(Настройки!$B$2="M",'Печатные изд.'!C109,Настройки!$B$2="L",'Печатные изд.'!D109,Настройки!$B$2="XL",'Печатные изд.'!E109)</f>
        <v>1</v>
      </c>
      <c r="I109" s="41">
        <f t="shared" si="6"/>
        <v>56</v>
      </c>
      <c r="J109" s="33" t="s">
        <v>516</v>
      </c>
      <c r="K109" s="41" cm="1">
        <f t="array" ref="K109">_xlfn.IFS(J109="Высоконагруженная",Настройки!$B$6,J109="Средне-нагруженная",Настройки!$B$7,J109="Ненагруженная",Настройки!$B$8,J109="Гибкая",Настройки!$B$9)</f>
        <v>1.1499999999999999</v>
      </c>
      <c r="L109" s="41" cm="1">
        <f t="array" ref="L109">_xlfn.IFS(J109="Высоконагруженная",Настройки!$C$6,J109="Средне-нагруженная",Настройки!$C$7,J109="Ненагруженная",Настройки!$C$8,J109="Гибкая",Настройки!$C$9)/1000</f>
        <v>2</v>
      </c>
      <c r="M109" s="51">
        <f t="shared" si="8"/>
        <v>0</v>
      </c>
      <c r="N109" s="51">
        <f t="shared" si="9"/>
        <v>64.399999999999991</v>
      </c>
      <c r="O109" s="51">
        <f t="shared" si="10"/>
        <v>0</v>
      </c>
      <c r="P109" s="51">
        <f t="shared" si="11"/>
        <v>0</v>
      </c>
      <c r="Q109" s="52">
        <f t="shared" si="7"/>
        <v>128.79999999999998</v>
      </c>
      <c r="R109" s="43"/>
    </row>
    <row r="110" spans="1:18" ht="15.95" customHeight="1" x14ac:dyDescent="0.25">
      <c r="A110" s="19" t="s">
        <v>326</v>
      </c>
      <c r="B110" s="19" t="s">
        <v>325</v>
      </c>
      <c r="C110" s="33">
        <v>1</v>
      </c>
      <c r="D110" s="33">
        <v>1</v>
      </c>
      <c r="E110" s="33">
        <v>1</v>
      </c>
      <c r="F110" s="33">
        <v>56</v>
      </c>
      <c r="G110" s="33">
        <v>1</v>
      </c>
      <c r="H110" s="33" cm="1">
        <f t="array" ref="H110">G110*_xlfn.IFS(Настройки!$B$2="M",'Печатные изд.'!C110,Настройки!$B$2="L",'Печатные изд.'!D110,Настройки!$B$2="XL",'Печатные изд.'!E110)</f>
        <v>1</v>
      </c>
      <c r="I110" s="41">
        <f t="shared" si="6"/>
        <v>56</v>
      </c>
      <c r="J110" s="33" t="s">
        <v>516</v>
      </c>
      <c r="K110" s="41" cm="1">
        <f t="array" ref="K110">_xlfn.IFS(J110="Высоконагруженная",Настройки!$B$6,J110="Средне-нагруженная",Настройки!$B$7,J110="Ненагруженная",Настройки!$B$8,J110="Гибкая",Настройки!$B$9)</f>
        <v>1.1499999999999999</v>
      </c>
      <c r="L110" s="41" cm="1">
        <f t="array" ref="L110">_xlfn.IFS(J110="Высоконагруженная",Настройки!$C$6,J110="Средне-нагруженная",Настройки!$C$7,J110="Ненагруженная",Настройки!$C$8,J110="Гибкая",Настройки!$C$9)/1000</f>
        <v>2</v>
      </c>
      <c r="M110" s="51">
        <f t="shared" si="8"/>
        <v>0</v>
      </c>
      <c r="N110" s="51">
        <f t="shared" si="9"/>
        <v>64.399999999999991</v>
      </c>
      <c r="O110" s="51">
        <f t="shared" si="10"/>
        <v>0</v>
      </c>
      <c r="P110" s="51">
        <f t="shared" si="11"/>
        <v>0</v>
      </c>
      <c r="Q110" s="52">
        <f t="shared" si="7"/>
        <v>128.79999999999998</v>
      </c>
      <c r="R110" s="43"/>
    </row>
    <row r="111" spans="1:18" ht="15.95" customHeight="1" x14ac:dyDescent="0.25">
      <c r="A111" s="19" t="s">
        <v>327</v>
      </c>
      <c r="B111" s="19" t="s">
        <v>328</v>
      </c>
      <c r="C111" s="33">
        <v>1</v>
      </c>
      <c r="D111" s="33">
        <v>1</v>
      </c>
      <c r="E111" s="33">
        <v>1</v>
      </c>
      <c r="F111" s="33">
        <v>50</v>
      </c>
      <c r="G111" s="33">
        <v>1</v>
      </c>
      <c r="H111" s="33" cm="1">
        <f t="array" ref="H111">G111*_xlfn.IFS(Настройки!$B$2="M",'Печатные изд.'!C111,Настройки!$B$2="L",'Печатные изд.'!D111,Настройки!$B$2="XL",'Печатные изд.'!E111)</f>
        <v>1</v>
      </c>
      <c r="I111" s="41">
        <f t="shared" si="6"/>
        <v>50</v>
      </c>
      <c r="J111" s="33" t="s">
        <v>516</v>
      </c>
      <c r="K111" s="41" cm="1">
        <f t="array" ref="K111">_xlfn.IFS(J111="Высоконагруженная",Настройки!$B$6,J111="Средне-нагруженная",Настройки!$B$7,J111="Ненагруженная",Настройки!$B$8,J111="Гибкая",Настройки!$B$9)</f>
        <v>1.1499999999999999</v>
      </c>
      <c r="L111" s="41" cm="1">
        <f t="array" ref="L111">_xlfn.IFS(J111="Высоконагруженная",Настройки!$C$6,J111="Средне-нагруженная",Настройки!$C$7,J111="Ненагруженная",Настройки!$C$8,J111="Гибкая",Настройки!$C$9)/1000</f>
        <v>2</v>
      </c>
      <c r="M111" s="51">
        <f t="shared" si="8"/>
        <v>0</v>
      </c>
      <c r="N111" s="51">
        <f t="shared" si="9"/>
        <v>57.499999999999993</v>
      </c>
      <c r="O111" s="51">
        <f t="shared" si="10"/>
        <v>0</v>
      </c>
      <c r="P111" s="51">
        <f t="shared" si="11"/>
        <v>0</v>
      </c>
      <c r="Q111" s="52">
        <f t="shared" si="7"/>
        <v>114.99999999999999</v>
      </c>
      <c r="R111" s="43"/>
    </row>
    <row r="112" spans="1:18" ht="15.95" customHeight="1" x14ac:dyDescent="0.25">
      <c r="A112" s="19" t="s">
        <v>329</v>
      </c>
      <c r="B112" s="19" t="s">
        <v>328</v>
      </c>
      <c r="C112" s="33">
        <v>1</v>
      </c>
      <c r="D112" s="33">
        <v>1</v>
      </c>
      <c r="E112" s="33">
        <v>1</v>
      </c>
      <c r="F112" s="33">
        <v>50</v>
      </c>
      <c r="G112" s="33">
        <v>1</v>
      </c>
      <c r="H112" s="33" cm="1">
        <f t="array" ref="H112">G112*_xlfn.IFS(Настройки!$B$2="M",'Печатные изд.'!C112,Настройки!$B$2="L",'Печатные изд.'!D112,Настройки!$B$2="XL",'Печатные изд.'!E112)</f>
        <v>1</v>
      </c>
      <c r="I112" s="41">
        <f t="shared" si="6"/>
        <v>50</v>
      </c>
      <c r="J112" s="33" t="s">
        <v>516</v>
      </c>
      <c r="K112" s="41" cm="1">
        <f t="array" ref="K112">_xlfn.IFS(J112="Высоконагруженная",Настройки!$B$6,J112="Средне-нагруженная",Настройки!$B$7,J112="Ненагруженная",Настройки!$B$8,J112="Гибкая",Настройки!$B$9)</f>
        <v>1.1499999999999999</v>
      </c>
      <c r="L112" s="41" cm="1">
        <f t="array" ref="L112">_xlfn.IFS(J112="Высоконагруженная",Настройки!$C$6,J112="Средне-нагруженная",Настройки!$C$7,J112="Ненагруженная",Настройки!$C$8,J112="Гибкая",Настройки!$C$9)/1000</f>
        <v>2</v>
      </c>
      <c r="M112" s="51">
        <f t="shared" si="8"/>
        <v>0</v>
      </c>
      <c r="N112" s="51">
        <f t="shared" si="9"/>
        <v>57.499999999999993</v>
      </c>
      <c r="O112" s="51">
        <f t="shared" si="10"/>
        <v>0</v>
      </c>
      <c r="P112" s="51">
        <f t="shared" si="11"/>
        <v>0</v>
      </c>
      <c r="Q112" s="52">
        <f t="shared" si="7"/>
        <v>114.99999999999999</v>
      </c>
      <c r="R112" s="43"/>
    </row>
    <row r="113" spans="1:18" ht="15.95" customHeight="1" x14ac:dyDescent="0.25">
      <c r="A113" s="19" t="s">
        <v>330</v>
      </c>
      <c r="B113" s="19" t="s">
        <v>331</v>
      </c>
      <c r="C113" s="33">
        <v>1</v>
      </c>
      <c r="D113" s="33">
        <v>1</v>
      </c>
      <c r="E113" s="33">
        <v>1</v>
      </c>
      <c r="F113" s="33">
        <v>8</v>
      </c>
      <c r="G113" s="33">
        <v>1</v>
      </c>
      <c r="H113" s="33" cm="1">
        <f t="array" ref="H113">G113*_xlfn.IFS(Настройки!$B$2="M",'Печатные изд.'!C113,Настройки!$B$2="L",'Печатные изд.'!D113,Настройки!$B$2="XL",'Печатные изд.'!E113)</f>
        <v>1</v>
      </c>
      <c r="I113" s="41">
        <f t="shared" si="6"/>
        <v>8</v>
      </c>
      <c r="J113" s="33" t="s">
        <v>517</v>
      </c>
      <c r="K113" s="41" cm="1">
        <f t="array" ref="K113">_xlfn.IFS(J113="Высоконагруженная",Настройки!$B$6,J113="Средне-нагруженная",Настройки!$B$7,J113="Ненагруженная",Настройки!$B$8,J113="Гибкая",Настройки!$B$9)</f>
        <v>1.05</v>
      </c>
      <c r="L113" s="41" cm="1">
        <f t="array" ref="L113">_xlfn.IFS(J113="Высоконагруженная",Настройки!$C$6,J113="Средне-нагруженная",Настройки!$C$7,J113="Ненагруженная",Настройки!$C$8,J113="Гибкая",Настройки!$C$9)/1000</f>
        <v>1</v>
      </c>
      <c r="M113" s="51">
        <f t="shared" si="8"/>
        <v>0</v>
      </c>
      <c r="N113" s="51">
        <f t="shared" si="9"/>
        <v>0</v>
      </c>
      <c r="O113" s="51">
        <f t="shared" si="10"/>
        <v>8.4</v>
      </c>
      <c r="P113" s="51">
        <f t="shared" si="11"/>
        <v>0</v>
      </c>
      <c r="Q113" s="52">
        <f t="shared" si="7"/>
        <v>8.4</v>
      </c>
      <c r="R113" s="43"/>
    </row>
    <row r="114" spans="1:18" ht="15.95" customHeight="1" x14ac:dyDescent="0.25">
      <c r="A114" s="19" t="s">
        <v>332</v>
      </c>
      <c r="B114" s="19" t="s">
        <v>333</v>
      </c>
      <c r="C114" s="33">
        <v>1</v>
      </c>
      <c r="D114" s="33">
        <v>1</v>
      </c>
      <c r="E114" s="33">
        <v>1</v>
      </c>
      <c r="F114" s="33">
        <v>22</v>
      </c>
      <c r="G114" s="33">
        <v>1</v>
      </c>
      <c r="H114" s="33" cm="1">
        <f t="array" ref="H114">G114*_xlfn.IFS(Настройки!$B$2="M",'Печатные изд.'!C114,Настройки!$B$2="L",'Печатные изд.'!D114,Настройки!$B$2="XL",'Печатные изд.'!E114)</f>
        <v>1</v>
      </c>
      <c r="I114" s="41">
        <f t="shared" si="6"/>
        <v>22</v>
      </c>
      <c r="J114" s="33" t="s">
        <v>517</v>
      </c>
      <c r="K114" s="41" cm="1">
        <f t="array" ref="K114">_xlfn.IFS(J114="Высоконагруженная",Настройки!$B$6,J114="Средне-нагруженная",Настройки!$B$7,J114="Ненагруженная",Настройки!$B$8,J114="Гибкая",Настройки!$B$9)</f>
        <v>1.05</v>
      </c>
      <c r="L114" s="41" cm="1">
        <f t="array" ref="L114">_xlfn.IFS(J114="Высоконагруженная",Настройки!$C$6,J114="Средне-нагруженная",Настройки!$C$7,J114="Ненагруженная",Настройки!$C$8,J114="Гибкая",Настройки!$C$9)/1000</f>
        <v>1</v>
      </c>
      <c r="M114" s="51">
        <f t="shared" si="8"/>
        <v>0</v>
      </c>
      <c r="N114" s="51">
        <f t="shared" si="9"/>
        <v>0</v>
      </c>
      <c r="O114" s="51">
        <f t="shared" si="10"/>
        <v>23.1</v>
      </c>
      <c r="P114" s="51">
        <f t="shared" si="11"/>
        <v>0</v>
      </c>
      <c r="Q114" s="52">
        <f t="shared" si="7"/>
        <v>23.1</v>
      </c>
      <c r="R114" s="43"/>
    </row>
    <row r="115" spans="1:18" ht="15.95" customHeight="1" x14ac:dyDescent="0.25">
      <c r="A115" s="19" t="s">
        <v>334</v>
      </c>
      <c r="B115" s="19" t="s">
        <v>335</v>
      </c>
      <c r="C115" s="33">
        <v>1</v>
      </c>
      <c r="D115" s="33">
        <v>1</v>
      </c>
      <c r="E115" s="33">
        <v>1</v>
      </c>
      <c r="F115" s="33">
        <v>42</v>
      </c>
      <c r="G115" s="33">
        <v>1</v>
      </c>
      <c r="H115" s="33" cm="1">
        <f t="array" ref="H115">G115*_xlfn.IFS(Настройки!$B$2="M",'Печатные изд.'!C115,Настройки!$B$2="L",'Печатные изд.'!D115,Настройки!$B$2="XL",'Печатные изд.'!E115)</f>
        <v>1</v>
      </c>
      <c r="I115" s="41">
        <f t="shared" si="6"/>
        <v>42</v>
      </c>
      <c r="J115" s="33" t="s">
        <v>517</v>
      </c>
      <c r="K115" s="41" cm="1">
        <f t="array" ref="K115">_xlfn.IFS(J115="Высоконагруженная",Настройки!$B$6,J115="Средне-нагруженная",Настройки!$B$7,J115="Ненагруженная",Настройки!$B$8,J115="Гибкая",Настройки!$B$9)</f>
        <v>1.05</v>
      </c>
      <c r="L115" s="41" cm="1">
        <f t="array" ref="L115">_xlfn.IFS(J115="Высоконагруженная",Настройки!$C$6,J115="Средне-нагруженная",Настройки!$C$7,J115="Ненагруженная",Настройки!$C$8,J115="Гибкая",Настройки!$C$9)/1000</f>
        <v>1</v>
      </c>
      <c r="M115" s="51">
        <f t="shared" si="8"/>
        <v>0</v>
      </c>
      <c r="N115" s="51">
        <f t="shared" si="9"/>
        <v>0</v>
      </c>
      <c r="O115" s="51">
        <f t="shared" si="10"/>
        <v>44.1</v>
      </c>
      <c r="P115" s="51">
        <f t="shared" si="11"/>
        <v>0</v>
      </c>
      <c r="Q115" s="52">
        <f t="shared" si="7"/>
        <v>44.1</v>
      </c>
      <c r="R115" s="44"/>
    </row>
    <row r="116" spans="1:18" ht="15.95" customHeight="1" x14ac:dyDescent="0.25">
      <c r="A116" s="19" t="s">
        <v>336</v>
      </c>
      <c r="B116" s="19" t="s">
        <v>337</v>
      </c>
      <c r="C116" s="33">
        <v>2</v>
      </c>
      <c r="D116" s="33">
        <v>2</v>
      </c>
      <c r="E116" s="33">
        <v>2</v>
      </c>
      <c r="F116" s="33">
        <v>7</v>
      </c>
      <c r="G116" s="33">
        <v>1</v>
      </c>
      <c r="H116" s="33" cm="1">
        <f t="array" ref="H116">G116*_xlfn.IFS(Настройки!$B$2="M",'Печатные изд.'!C116,Настройки!$B$2="L",'Печатные изд.'!D116,Настройки!$B$2="XL",'Печатные изд.'!E116)</f>
        <v>2</v>
      </c>
      <c r="I116" s="41">
        <f t="shared" ref="I116:I122" si="12">F116*H116</f>
        <v>14</v>
      </c>
      <c r="J116" s="33" t="s">
        <v>517</v>
      </c>
      <c r="K116" s="41" cm="1">
        <f t="array" ref="K116">_xlfn.IFS(J116="Высоконагруженная",Настройки!$B$6,J116="Средне-нагруженная",Настройки!$B$7,J116="Ненагруженная",Настройки!$B$8,J116="Гибкая",Настройки!$B$9)</f>
        <v>1.05</v>
      </c>
      <c r="L116" s="41" cm="1">
        <f t="array" ref="L116">_xlfn.IFS(J116="Высоконагруженная",Настройки!$C$6,J116="Средне-нагруженная",Настройки!$C$7,J116="Ненагруженная",Настройки!$C$8,J116="Гибкая",Настройки!$C$9)/1000</f>
        <v>1</v>
      </c>
      <c r="M116" s="51">
        <f t="shared" si="8"/>
        <v>0</v>
      </c>
      <c r="N116" s="51">
        <f t="shared" si="9"/>
        <v>0</v>
      </c>
      <c r="O116" s="51">
        <f t="shared" si="10"/>
        <v>14.700000000000001</v>
      </c>
      <c r="P116" s="51">
        <f t="shared" si="11"/>
        <v>0</v>
      </c>
      <c r="Q116" s="52">
        <f t="shared" ref="Q116:Q122" si="13">SUM(M116:P116)*L116</f>
        <v>14.700000000000001</v>
      </c>
      <c r="R116" s="44"/>
    </row>
    <row r="117" spans="1:18" ht="15.95" customHeight="1" x14ac:dyDescent="0.25">
      <c r="A117" s="19" t="s">
        <v>338</v>
      </c>
      <c r="B117" s="19" t="s">
        <v>339</v>
      </c>
      <c r="C117" s="33">
        <v>1</v>
      </c>
      <c r="D117" s="33">
        <v>1</v>
      </c>
      <c r="E117" s="33">
        <v>1</v>
      </c>
      <c r="F117" s="33">
        <v>2</v>
      </c>
      <c r="G117" s="33">
        <v>1</v>
      </c>
      <c r="H117" s="33" cm="1">
        <f t="array" ref="H117">G117*_xlfn.IFS(Настройки!$B$2="M",'Печатные изд.'!C117,Настройки!$B$2="L",'Печатные изд.'!D117,Настройки!$B$2="XL",'Печатные изд.'!E117)</f>
        <v>1</v>
      </c>
      <c r="I117" s="41">
        <f t="shared" si="12"/>
        <v>2</v>
      </c>
      <c r="J117" s="33" t="s">
        <v>517</v>
      </c>
      <c r="K117" s="41" cm="1">
        <f t="array" ref="K117">_xlfn.IFS(J117="Высоконагруженная",Настройки!$B$6,J117="Средне-нагруженная",Настройки!$B$7,J117="Ненагруженная",Настройки!$B$8,J117="Гибкая",Настройки!$B$9)</f>
        <v>1.05</v>
      </c>
      <c r="L117" s="41" cm="1">
        <f t="array" ref="L117">_xlfn.IFS(J117="Высоконагруженная",Настройки!$C$6,J117="Средне-нагруженная",Настройки!$C$7,J117="Ненагруженная",Настройки!$C$8,J117="Гибкая",Настройки!$C$9)/1000</f>
        <v>1</v>
      </c>
      <c r="M117" s="51">
        <f t="shared" si="8"/>
        <v>0</v>
      </c>
      <c r="N117" s="51">
        <f t="shared" si="9"/>
        <v>0</v>
      </c>
      <c r="O117" s="51">
        <f t="shared" si="10"/>
        <v>2.1</v>
      </c>
      <c r="P117" s="51">
        <f t="shared" si="11"/>
        <v>0</v>
      </c>
      <c r="Q117" s="52">
        <f t="shared" si="13"/>
        <v>2.1</v>
      </c>
      <c r="R117" s="44"/>
    </row>
    <row r="118" spans="1:18" ht="15.95" customHeight="1" x14ac:dyDescent="0.25">
      <c r="A118" s="19" t="s">
        <v>505</v>
      </c>
      <c r="B118" s="19" t="s">
        <v>506</v>
      </c>
      <c r="C118" s="33">
        <v>1</v>
      </c>
      <c r="D118" s="33">
        <v>1</v>
      </c>
      <c r="E118" s="33">
        <v>2</v>
      </c>
      <c r="F118" s="33">
        <v>36</v>
      </c>
      <c r="G118" s="33">
        <v>1</v>
      </c>
      <c r="H118" s="33" cm="1">
        <f t="array" ref="H118">G118*_xlfn.IFS(Настройки!$B$2="M",'Печатные изд.'!C118,Настройки!$B$2="L",'Печатные изд.'!D118,Настройки!$B$2="XL",'Печатные изд.'!E118)</f>
        <v>1</v>
      </c>
      <c r="I118" s="41">
        <f t="shared" si="12"/>
        <v>36</v>
      </c>
      <c r="J118" s="33" t="s">
        <v>516</v>
      </c>
      <c r="K118" s="41" cm="1">
        <f t="array" ref="K118">_xlfn.IFS(J118="Высоконагруженная",Настройки!$B$6,J118="Средне-нагруженная",Настройки!$B$7,J118="Ненагруженная",Настройки!$B$8,J118="Гибкая",Настройки!$B$9)</f>
        <v>1.1499999999999999</v>
      </c>
      <c r="L118" s="41" cm="1">
        <f t="array" ref="L118">_xlfn.IFS(J118="Высоконагруженная",Настройки!$C$6,J118="Средне-нагруженная",Настройки!$C$7,J118="Ненагруженная",Настройки!$C$8,J118="Гибкая",Настройки!$C$9)/1000</f>
        <v>2</v>
      </c>
      <c r="M118" s="51">
        <f t="shared" si="8"/>
        <v>0</v>
      </c>
      <c r="N118" s="51">
        <f t="shared" si="9"/>
        <v>41.4</v>
      </c>
      <c r="O118" s="51">
        <f t="shared" si="10"/>
        <v>0</v>
      </c>
      <c r="P118" s="51">
        <f t="shared" si="11"/>
        <v>0</v>
      </c>
      <c r="Q118" s="52">
        <f t="shared" si="13"/>
        <v>82.8</v>
      </c>
      <c r="R118" s="44"/>
    </row>
    <row r="119" spans="1:18" ht="15.95" customHeight="1" x14ac:dyDescent="0.25">
      <c r="A119" s="19" t="s">
        <v>507</v>
      </c>
      <c r="B119" s="19" t="s">
        <v>508</v>
      </c>
      <c r="C119" s="33">
        <v>3</v>
      </c>
      <c r="D119" s="33">
        <v>3</v>
      </c>
      <c r="E119" s="33">
        <v>6</v>
      </c>
      <c r="F119" s="33">
        <v>1</v>
      </c>
      <c r="G119" s="33">
        <v>1</v>
      </c>
      <c r="H119" s="33" cm="1">
        <f t="array" ref="H119">G119*_xlfn.IFS(Настройки!$B$2="M",'Печатные изд.'!C119,Настройки!$B$2="L",'Печатные изд.'!D119,Настройки!$B$2="XL",'Печатные изд.'!E119)</f>
        <v>3</v>
      </c>
      <c r="I119" s="41">
        <f t="shared" si="12"/>
        <v>3</v>
      </c>
      <c r="J119" s="33" t="s">
        <v>517</v>
      </c>
      <c r="K119" s="41" cm="1">
        <f t="array" ref="K119">_xlfn.IFS(J119="Высоконагруженная",Настройки!$B$6,J119="Средне-нагруженная",Настройки!$B$7,J119="Ненагруженная",Настройки!$B$8,J119="Гибкая",Настройки!$B$9)</f>
        <v>1.05</v>
      </c>
      <c r="L119" s="41" cm="1">
        <f t="array" ref="L119">_xlfn.IFS(J119="Высоконагруженная",Настройки!$C$6,J119="Средне-нагруженная",Настройки!$C$7,J119="Ненагруженная",Настройки!$C$8,J119="Гибкая",Настройки!$C$9)/1000</f>
        <v>1</v>
      </c>
      <c r="M119" s="51">
        <f t="shared" si="8"/>
        <v>0</v>
      </c>
      <c r="N119" s="51">
        <f t="shared" si="9"/>
        <v>0</v>
      </c>
      <c r="O119" s="51">
        <f t="shared" si="10"/>
        <v>3.1500000000000004</v>
      </c>
      <c r="P119" s="51">
        <f t="shared" si="11"/>
        <v>0</v>
      </c>
      <c r="Q119" s="52">
        <f t="shared" si="13"/>
        <v>3.1500000000000004</v>
      </c>
      <c r="R119" s="44"/>
    </row>
    <row r="120" spans="1:18" ht="15.95" customHeight="1" x14ac:dyDescent="0.25">
      <c r="A120" s="19" t="s">
        <v>340</v>
      </c>
      <c r="B120" s="19" t="s">
        <v>341</v>
      </c>
      <c r="C120" s="33">
        <v>2</v>
      </c>
      <c r="D120" s="33">
        <v>2</v>
      </c>
      <c r="E120" s="33">
        <v>2</v>
      </c>
      <c r="F120" s="33">
        <v>34</v>
      </c>
      <c r="G120" s="33">
        <v>1</v>
      </c>
      <c r="H120" s="33" cm="1">
        <f t="array" ref="H120">G120*_xlfn.IFS(Настройки!$B$2="M",'Печатные изд.'!C120,Настройки!$B$2="L",'Печатные изд.'!D120,Настройки!$B$2="XL",'Печатные изд.'!E120)</f>
        <v>2</v>
      </c>
      <c r="I120" s="41">
        <f t="shared" si="12"/>
        <v>68</v>
      </c>
      <c r="J120" s="33" t="s">
        <v>517</v>
      </c>
      <c r="K120" s="41" cm="1">
        <f t="array" ref="K120">_xlfn.IFS(J120="Высоконагруженная",Настройки!$B$6,J120="Средне-нагруженная",Настройки!$B$7,J120="Ненагруженная",Настройки!$B$8,J120="Гибкая",Настройки!$B$9)</f>
        <v>1.05</v>
      </c>
      <c r="L120" s="41" cm="1">
        <f t="array" ref="L120">_xlfn.IFS(J120="Высоконагруженная",Настройки!$C$6,J120="Средне-нагруженная",Настройки!$C$7,J120="Ненагруженная",Настройки!$C$8,J120="Гибкая",Настройки!$C$9)/1000</f>
        <v>1</v>
      </c>
      <c r="M120" s="51">
        <f t="shared" si="8"/>
        <v>0</v>
      </c>
      <c r="N120" s="51">
        <f t="shared" si="9"/>
        <v>0</v>
      </c>
      <c r="O120" s="51">
        <f t="shared" si="10"/>
        <v>71.400000000000006</v>
      </c>
      <c r="P120" s="51">
        <f t="shared" si="11"/>
        <v>0</v>
      </c>
      <c r="Q120" s="52">
        <f t="shared" si="13"/>
        <v>71.400000000000006</v>
      </c>
      <c r="R120" s="44" t="s">
        <v>526</v>
      </c>
    </row>
    <row r="121" spans="1:18" ht="15.95" customHeight="1" x14ac:dyDescent="0.25">
      <c r="A121" s="19" t="s">
        <v>342</v>
      </c>
      <c r="B121" s="19" t="s">
        <v>343</v>
      </c>
      <c r="C121" s="33">
        <v>1</v>
      </c>
      <c r="D121" s="33">
        <v>1</v>
      </c>
      <c r="E121" s="33">
        <v>1</v>
      </c>
      <c r="F121" s="33">
        <v>20</v>
      </c>
      <c r="G121" s="33">
        <v>1</v>
      </c>
      <c r="H121" s="33" cm="1">
        <f t="array" ref="H121">G121*_xlfn.IFS(Настройки!$B$2="M",'Печатные изд.'!C121,Настройки!$B$2="L",'Печатные изд.'!D121,Настройки!$B$2="XL",'Печатные изд.'!E121)</f>
        <v>1</v>
      </c>
      <c r="I121" s="41">
        <f t="shared" si="12"/>
        <v>20</v>
      </c>
      <c r="J121" s="33" t="s">
        <v>517</v>
      </c>
      <c r="K121" s="41" cm="1">
        <f t="array" ref="K121">_xlfn.IFS(J121="Высоконагруженная",Настройки!$B$6,J121="Средне-нагруженная",Настройки!$B$7,J121="Ненагруженная",Настройки!$B$8,J121="Гибкая",Настройки!$B$9)</f>
        <v>1.05</v>
      </c>
      <c r="L121" s="41" cm="1">
        <f t="array" ref="L121">_xlfn.IFS(J121="Высоконагруженная",Настройки!$C$6,J121="Средне-нагруженная",Настройки!$C$7,J121="Ненагруженная",Настройки!$C$8,J121="Гибкая",Настройки!$C$9)/1000</f>
        <v>1</v>
      </c>
      <c r="M121" s="51">
        <f t="shared" si="8"/>
        <v>0</v>
      </c>
      <c r="N121" s="51">
        <f t="shared" si="9"/>
        <v>0</v>
      </c>
      <c r="O121" s="51">
        <f t="shared" si="10"/>
        <v>21</v>
      </c>
      <c r="P121" s="51">
        <f t="shared" si="11"/>
        <v>0</v>
      </c>
      <c r="Q121" s="52">
        <f t="shared" si="13"/>
        <v>21</v>
      </c>
      <c r="R121" s="44"/>
    </row>
    <row r="122" spans="1:18" ht="15.95" customHeight="1" x14ac:dyDescent="0.25">
      <c r="A122" s="19" t="s">
        <v>344</v>
      </c>
      <c r="B122" s="19" t="s">
        <v>345</v>
      </c>
      <c r="C122" s="33">
        <v>1</v>
      </c>
      <c r="D122" s="33">
        <v>1</v>
      </c>
      <c r="E122" s="33">
        <v>1</v>
      </c>
      <c r="F122" s="33">
        <v>22</v>
      </c>
      <c r="G122" s="33">
        <v>1</v>
      </c>
      <c r="H122" s="33" cm="1">
        <f t="array" ref="H122">G122*_xlfn.IFS(Настройки!$B$2="M",'Печатные изд.'!C122,Настройки!$B$2="L",'Печатные изд.'!D122,Настройки!$B$2="XL",'Печатные изд.'!E122)</f>
        <v>1</v>
      </c>
      <c r="I122" s="41">
        <f t="shared" si="12"/>
        <v>22</v>
      </c>
      <c r="J122" s="33" t="s">
        <v>517</v>
      </c>
      <c r="K122" s="41" cm="1">
        <f t="array" ref="K122">_xlfn.IFS(J122="Высоконагруженная",Настройки!$B$6,J122="Средне-нагруженная",Настройки!$B$7,J122="Ненагруженная",Настройки!$B$8,J122="Гибкая",Настройки!$B$9)</f>
        <v>1.05</v>
      </c>
      <c r="L122" s="41" cm="1">
        <f t="array" ref="L122">_xlfn.IFS(J122="Высоконагруженная",Настройки!$C$6,J122="Средне-нагруженная",Настройки!$C$7,J122="Ненагруженная",Настройки!$C$8,J122="Гибкая",Настройки!$C$9)/1000</f>
        <v>1</v>
      </c>
      <c r="M122" s="51">
        <f t="shared" si="8"/>
        <v>0</v>
      </c>
      <c r="N122" s="51">
        <f t="shared" si="9"/>
        <v>0</v>
      </c>
      <c r="O122" s="51">
        <f t="shared" si="10"/>
        <v>23.1</v>
      </c>
      <c r="P122" s="51">
        <f t="shared" si="11"/>
        <v>0</v>
      </c>
      <c r="Q122" s="52">
        <f t="shared" si="13"/>
        <v>23.1</v>
      </c>
      <c r="R122" s="44"/>
    </row>
  </sheetData>
  <mergeCells count="16">
    <mergeCell ref="R75:R76"/>
    <mergeCell ref="H1:H2"/>
    <mergeCell ref="I1:I2"/>
    <mergeCell ref="J1:J2"/>
    <mergeCell ref="K1:K2"/>
    <mergeCell ref="R25:R26"/>
    <mergeCell ref="Q1:Q2"/>
    <mergeCell ref="R1:R2"/>
    <mergeCell ref="L1:L2"/>
    <mergeCell ref="M1:P1"/>
    <mergeCell ref="R17:R18"/>
    <mergeCell ref="A1:A2"/>
    <mergeCell ref="B1:B2"/>
    <mergeCell ref="C1:E1"/>
    <mergeCell ref="F1:F2"/>
    <mergeCell ref="G1:G2"/>
  </mergeCells>
  <dataValidations count="2">
    <dataValidation operator="equal" allowBlank="1" showErrorMessage="1" sqref="A1:B1 C1:C2 D2:E2 F1:L1 M1:M2 N2:P2 Q1:R1" xr:uid="{00000000-0002-0000-0300-000000000000}">
      <formula1>0</formula1>
      <formula2>0</formula2>
    </dataValidation>
    <dataValidation type="list" operator="equal" allowBlank="1" showErrorMessage="1" sqref="J3:J122" xr:uid="{86BF0902-52DE-480D-8EF2-D3F0F0E5FB01}">
      <formula1>"Высоконагруженная,Средне-нагруженная,Ненагруженная,Гибкая"</formula1>
    </dataValidation>
  </dataValidation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&amp;C&amp;"Arial,Обычный"&amp;A</oddHeader>
    <oddFooter>&amp;C&amp;"Arial,Обычный"Page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P13"/>
  <sheetViews>
    <sheetView zoomScaleNormal="100" workbookViewId="0">
      <selection activeCell="B10" sqref="B10"/>
    </sheetView>
  </sheetViews>
  <sheetFormatPr defaultColWidth="10.625" defaultRowHeight="13.5" x14ac:dyDescent="0.25"/>
  <cols>
    <col min="1" max="1" width="14.25" customWidth="1"/>
    <col min="2" max="2" width="40.375" customWidth="1"/>
    <col min="3" max="3" width="23.5" customWidth="1"/>
    <col min="4" max="4" width="8" hidden="1" customWidth="1"/>
    <col min="5" max="5" width="7.625" hidden="1" customWidth="1"/>
    <col min="6" max="6" width="8.125" hidden="1" customWidth="1"/>
    <col min="7" max="7" width="9.5" customWidth="1"/>
    <col min="8" max="8" width="8.75" hidden="1" customWidth="1"/>
    <col min="9" max="9" width="8.875" hidden="1" customWidth="1"/>
    <col min="10" max="10" width="9.375" hidden="1" customWidth="1"/>
    <col min="11" max="11" width="6.75" customWidth="1"/>
    <col min="12" max="12" width="8" hidden="1" customWidth="1"/>
    <col min="13" max="13" width="12.25" hidden="1" customWidth="1"/>
    <col min="14" max="14" width="9.625" hidden="1" customWidth="1"/>
    <col min="15" max="15" width="10.75" customWidth="1"/>
  </cols>
  <sheetData>
    <row r="1" spans="1:16" ht="16.5" x14ac:dyDescent="0.3">
      <c r="A1" s="54" t="s">
        <v>143</v>
      </c>
      <c r="B1" s="55" t="s">
        <v>32</v>
      </c>
      <c r="C1" s="55" t="s">
        <v>346</v>
      </c>
      <c r="D1" s="55" t="s">
        <v>347</v>
      </c>
      <c r="E1" s="55" t="s">
        <v>348</v>
      </c>
      <c r="F1" s="55" t="s">
        <v>349</v>
      </c>
      <c r="G1" s="55" t="s">
        <v>350</v>
      </c>
      <c r="H1" s="55" t="s">
        <v>107</v>
      </c>
      <c r="I1" s="55" t="s">
        <v>108</v>
      </c>
      <c r="J1" s="55" t="s">
        <v>109</v>
      </c>
      <c r="K1" s="55" t="s">
        <v>111</v>
      </c>
      <c r="L1" s="55" t="s">
        <v>351</v>
      </c>
      <c r="M1" s="55" t="s">
        <v>352</v>
      </c>
      <c r="N1" s="55" t="s">
        <v>353</v>
      </c>
      <c r="O1" s="55" t="s">
        <v>354</v>
      </c>
      <c r="P1" s="55" t="s">
        <v>112</v>
      </c>
    </row>
    <row r="2" spans="1:16" ht="16.5" x14ac:dyDescent="0.3">
      <c r="A2" s="56" t="s">
        <v>355</v>
      </c>
      <c r="B2" s="56" t="s">
        <v>356</v>
      </c>
      <c r="C2" s="57" t="s">
        <v>357</v>
      </c>
      <c r="D2" s="58">
        <v>450</v>
      </c>
      <c r="E2" s="58">
        <v>600</v>
      </c>
      <c r="F2" s="58">
        <v>700</v>
      </c>
      <c r="G2" s="59">
        <f>_xlfn.IFS(Настройки!$B$2="M",D2,Настройки!$B$2="L",E2,Настройки!$B$2="XL",F2)</f>
        <v>450</v>
      </c>
      <c r="H2" s="57">
        <v>2</v>
      </c>
      <c r="I2" s="57">
        <v>2</v>
      </c>
      <c r="J2" s="57">
        <v>2</v>
      </c>
      <c r="K2" s="60">
        <f>_xlfn.IFS(Настройки!$B$2="M",H2,Настройки!$B$2="L",I2,Настройки!$B$2="XL",J2)</f>
        <v>2</v>
      </c>
      <c r="L2" s="57">
        <f>994/1000</f>
        <v>0.99399999999999999</v>
      </c>
      <c r="M2" s="57">
        <f t="shared" ref="M2:M13" si="0">K2+1</f>
        <v>3</v>
      </c>
      <c r="N2" s="57">
        <v>40</v>
      </c>
      <c r="O2" s="61">
        <f t="shared" ref="O2:O13" si="1">G2*L2*K2+M2*N2</f>
        <v>1014.6</v>
      </c>
      <c r="P2" s="62" t="s">
        <v>358</v>
      </c>
    </row>
    <row r="3" spans="1:16" ht="16.5" x14ac:dyDescent="0.3">
      <c r="A3" s="56" t="s">
        <v>359</v>
      </c>
      <c r="B3" s="56" t="s">
        <v>360</v>
      </c>
      <c r="C3" s="57" t="s">
        <v>361</v>
      </c>
      <c r="D3" s="58">
        <v>650</v>
      </c>
      <c r="E3" s="58">
        <v>650</v>
      </c>
      <c r="F3" s="58">
        <v>750</v>
      </c>
      <c r="G3" s="59">
        <f>_xlfn.IFS(Настройки!$B$2="M",D3,Настройки!$B$2="L",E3,Настройки!$B$2="XL",F3)</f>
        <v>650</v>
      </c>
      <c r="H3" s="57">
        <v>2</v>
      </c>
      <c r="I3" s="57">
        <v>2</v>
      </c>
      <c r="J3" s="57">
        <v>2</v>
      </c>
      <c r="K3" s="60">
        <f>_xlfn.IFS(Настройки!$B$2="M",H3,Настройки!$B$2="L",I3,Настройки!$B$2="XL",J3)</f>
        <v>2</v>
      </c>
      <c r="L3" s="57">
        <f>0.458</f>
        <v>0.45800000000000002</v>
      </c>
      <c r="M3" s="57">
        <f t="shared" si="0"/>
        <v>3</v>
      </c>
      <c r="N3" s="57">
        <v>40</v>
      </c>
      <c r="O3" s="61">
        <f t="shared" si="1"/>
        <v>715.4</v>
      </c>
      <c r="P3" s="62" t="s">
        <v>358</v>
      </c>
    </row>
    <row r="4" spans="1:16" ht="16.5" x14ac:dyDescent="0.3">
      <c r="A4" s="56" t="s">
        <v>362</v>
      </c>
      <c r="B4" s="56" t="s">
        <v>363</v>
      </c>
      <c r="C4" s="57" t="s">
        <v>361</v>
      </c>
      <c r="D4" s="58">
        <v>530</v>
      </c>
      <c r="E4" s="58">
        <v>530</v>
      </c>
      <c r="F4" s="58">
        <v>630</v>
      </c>
      <c r="G4" s="59">
        <f>_xlfn.IFS(Настройки!$B$2="M",D4,Настройки!$B$2="L",E4,Настройки!$B$2="XL",F4)</f>
        <v>530</v>
      </c>
      <c r="H4" s="57">
        <v>1</v>
      </c>
      <c r="I4" s="57">
        <v>1</v>
      </c>
      <c r="J4" s="57">
        <v>1</v>
      </c>
      <c r="K4" s="60">
        <f>_xlfn.IFS(Настройки!$B$2="M",H4,Настройки!$B$2="L",I4,Настройки!$B$2="XL",J4)</f>
        <v>1</v>
      </c>
      <c r="L4" s="57">
        <f>0.458</f>
        <v>0.45800000000000002</v>
      </c>
      <c r="M4" s="57">
        <f t="shared" si="0"/>
        <v>2</v>
      </c>
      <c r="N4" s="57">
        <v>40</v>
      </c>
      <c r="O4" s="61">
        <f t="shared" si="1"/>
        <v>322.74</v>
      </c>
      <c r="P4" s="62" t="s">
        <v>358</v>
      </c>
    </row>
    <row r="5" spans="1:16" ht="16.5" x14ac:dyDescent="0.3">
      <c r="A5" s="56" t="s">
        <v>364</v>
      </c>
      <c r="B5" s="56" t="s">
        <v>365</v>
      </c>
      <c r="C5" s="57" t="s">
        <v>361</v>
      </c>
      <c r="D5" s="58">
        <v>470</v>
      </c>
      <c r="E5" s="58">
        <v>620</v>
      </c>
      <c r="F5" s="58">
        <v>720</v>
      </c>
      <c r="G5" s="59">
        <f>_xlfn.IFS(Настройки!$B$2="M",D5,Настройки!$B$2="L",E5,Настройки!$B$2="XL",F5)</f>
        <v>470</v>
      </c>
      <c r="H5" s="57">
        <v>4</v>
      </c>
      <c r="I5" s="57">
        <v>4</v>
      </c>
      <c r="J5" s="57">
        <v>4</v>
      </c>
      <c r="K5" s="60">
        <f>_xlfn.IFS(Настройки!$B$2="M",H5,Настройки!$B$2="L",I5,Настройки!$B$2="XL",J5)</f>
        <v>4</v>
      </c>
      <c r="L5" s="57">
        <f>0.458</f>
        <v>0.45800000000000002</v>
      </c>
      <c r="M5" s="57">
        <f t="shared" si="0"/>
        <v>5</v>
      </c>
      <c r="N5" s="57">
        <v>40</v>
      </c>
      <c r="O5" s="61">
        <f t="shared" si="1"/>
        <v>1061.04</v>
      </c>
      <c r="P5" s="62" t="s">
        <v>358</v>
      </c>
    </row>
    <row r="6" spans="1:16" ht="16.5" x14ac:dyDescent="0.3">
      <c r="A6" s="56" t="s">
        <v>366</v>
      </c>
      <c r="B6" s="56" t="s">
        <v>367</v>
      </c>
      <c r="C6" s="57" t="s">
        <v>368</v>
      </c>
      <c r="D6" s="58">
        <v>420</v>
      </c>
      <c r="E6" s="58">
        <v>570</v>
      </c>
      <c r="F6" s="58">
        <v>670</v>
      </c>
      <c r="G6" s="59">
        <f>_xlfn.IFS(Настройки!$B$2="M",D6,Настройки!$B$2="L",E6,Настройки!$B$2="XL",F6)</f>
        <v>420</v>
      </c>
      <c r="H6" s="57">
        <v>2</v>
      </c>
      <c r="I6" s="57">
        <v>4</v>
      </c>
      <c r="J6" s="57">
        <v>4</v>
      </c>
      <c r="K6" s="60">
        <f>_xlfn.IFS(Настройки!$B$2="M",H6,Настройки!$B$2="L",I6,Настройки!$B$2="XL",J6)</f>
        <v>2</v>
      </c>
      <c r="L6" s="57">
        <v>0.38800000000000001</v>
      </c>
      <c r="M6" s="57">
        <f t="shared" si="0"/>
        <v>3</v>
      </c>
      <c r="N6" s="57">
        <v>40</v>
      </c>
      <c r="O6" s="61">
        <f t="shared" si="1"/>
        <v>445.92</v>
      </c>
      <c r="P6" s="62" t="s">
        <v>358</v>
      </c>
    </row>
    <row r="7" spans="1:16" ht="16.5" x14ac:dyDescent="0.3">
      <c r="A7" s="56" t="s">
        <v>369</v>
      </c>
      <c r="B7" s="56" t="s">
        <v>370</v>
      </c>
      <c r="C7" s="57" t="s">
        <v>361</v>
      </c>
      <c r="D7" s="58">
        <v>420</v>
      </c>
      <c r="E7" s="58">
        <v>570</v>
      </c>
      <c r="F7" s="58">
        <v>670</v>
      </c>
      <c r="G7" s="59">
        <f>_xlfn.IFS(Настройки!$B$2="M",D7,Настройки!$B$2="L",E7,Настройки!$B$2="XL",F7)</f>
        <v>420</v>
      </c>
      <c r="H7" s="57">
        <v>2</v>
      </c>
      <c r="I7" s="57">
        <v>2</v>
      </c>
      <c r="J7" s="57">
        <v>2</v>
      </c>
      <c r="K7" s="60">
        <f>_xlfn.IFS(Настройки!$B$2="M",H7,Настройки!$B$2="L",I7,Настройки!$B$2="XL",J7)</f>
        <v>2</v>
      </c>
      <c r="L7" s="57">
        <f t="shared" ref="L7:L12" si="2">0.458</f>
        <v>0.45800000000000002</v>
      </c>
      <c r="M7" s="57">
        <f t="shared" si="0"/>
        <v>3</v>
      </c>
      <c r="N7" s="57">
        <v>40</v>
      </c>
      <c r="O7" s="61">
        <f t="shared" si="1"/>
        <v>504.72</v>
      </c>
      <c r="P7" s="62" t="s">
        <v>358</v>
      </c>
    </row>
    <row r="8" spans="1:16" ht="16.5" x14ac:dyDescent="0.3">
      <c r="A8" s="56" t="s">
        <v>371</v>
      </c>
      <c r="B8" s="56" t="s">
        <v>372</v>
      </c>
      <c r="C8" s="57" t="s">
        <v>361</v>
      </c>
      <c r="D8" s="58">
        <v>450</v>
      </c>
      <c r="E8" s="58">
        <v>600</v>
      </c>
      <c r="F8" s="58">
        <v>700</v>
      </c>
      <c r="G8" s="59">
        <f>_xlfn.IFS(Настройки!$B$2="M",D8,Настройки!$B$2="L",E8,Настройки!$B$2="XL",F8)</f>
        <v>450</v>
      </c>
      <c r="H8" s="57">
        <v>2</v>
      </c>
      <c r="I8" s="57">
        <v>2</v>
      </c>
      <c r="J8" s="57">
        <v>2</v>
      </c>
      <c r="K8" s="60">
        <f>_xlfn.IFS(Настройки!$B$2="M",H8,Настройки!$B$2="L",I8,Настройки!$B$2="XL",J8)</f>
        <v>2</v>
      </c>
      <c r="L8" s="57">
        <f t="shared" si="2"/>
        <v>0.45800000000000002</v>
      </c>
      <c r="M8" s="57">
        <f t="shared" si="0"/>
        <v>3</v>
      </c>
      <c r="N8" s="57">
        <v>40</v>
      </c>
      <c r="O8" s="61">
        <f t="shared" si="1"/>
        <v>532.20000000000005</v>
      </c>
      <c r="P8" s="62" t="s">
        <v>358</v>
      </c>
    </row>
    <row r="9" spans="1:16" ht="16.5" x14ac:dyDescent="0.3">
      <c r="A9" s="56" t="s">
        <v>373</v>
      </c>
      <c r="B9" s="56" t="s">
        <v>374</v>
      </c>
      <c r="C9" s="57" t="s">
        <v>361</v>
      </c>
      <c r="D9" s="58">
        <v>610</v>
      </c>
      <c r="E9" s="58">
        <v>610</v>
      </c>
      <c r="F9" s="58">
        <v>710</v>
      </c>
      <c r="G9" s="59">
        <f>_xlfn.IFS(Настройки!$B$2="M",D9,Настройки!$B$2="L",E9,Настройки!$B$2="XL",F9)</f>
        <v>610</v>
      </c>
      <c r="H9" s="57">
        <v>3</v>
      </c>
      <c r="I9" s="57">
        <v>3</v>
      </c>
      <c r="J9" s="57">
        <v>3</v>
      </c>
      <c r="K9" s="60">
        <f>_xlfn.IFS(Настройки!$B$2="M",H9,Настройки!$B$2="L",I9,Настройки!$B$2="XL",J9)</f>
        <v>3</v>
      </c>
      <c r="L9" s="57">
        <f t="shared" si="2"/>
        <v>0.45800000000000002</v>
      </c>
      <c r="M9" s="57">
        <f t="shared" si="0"/>
        <v>4</v>
      </c>
      <c r="N9" s="57">
        <v>40</v>
      </c>
      <c r="O9" s="61">
        <f t="shared" si="1"/>
        <v>998.14</v>
      </c>
      <c r="P9" s="62" t="s">
        <v>358</v>
      </c>
    </row>
    <row r="10" spans="1:16" ht="16.5" x14ac:dyDescent="0.3">
      <c r="A10" s="56" t="s">
        <v>375</v>
      </c>
      <c r="B10" s="56" t="s">
        <v>376</v>
      </c>
      <c r="C10" s="57" t="s">
        <v>361</v>
      </c>
      <c r="D10" s="58">
        <v>500</v>
      </c>
      <c r="E10" s="58">
        <v>500</v>
      </c>
      <c r="F10" s="58">
        <v>600</v>
      </c>
      <c r="G10" s="59">
        <f>_xlfn.IFS(Настройки!$B$2="M",D10,Настройки!$B$2="L",E10,Настройки!$B$2="XL",F10)</f>
        <v>500</v>
      </c>
      <c r="H10" s="57">
        <v>2</v>
      </c>
      <c r="I10" s="57">
        <v>2</v>
      </c>
      <c r="J10" s="57">
        <v>2</v>
      </c>
      <c r="K10" s="60">
        <f>_xlfn.IFS(Настройки!$B$2="M",H10,Настройки!$B$2="L",I10,Настройки!$B$2="XL",J10)</f>
        <v>2</v>
      </c>
      <c r="L10" s="57">
        <f t="shared" si="2"/>
        <v>0.45800000000000002</v>
      </c>
      <c r="M10" s="57">
        <f t="shared" si="0"/>
        <v>3</v>
      </c>
      <c r="N10" s="57">
        <v>40</v>
      </c>
      <c r="O10" s="61">
        <f t="shared" si="1"/>
        <v>578</v>
      </c>
      <c r="P10" s="62" t="s">
        <v>358</v>
      </c>
    </row>
    <row r="11" spans="1:16" ht="16.5" x14ac:dyDescent="0.3">
      <c r="A11" s="56" t="s">
        <v>377</v>
      </c>
      <c r="B11" s="56" t="s">
        <v>378</v>
      </c>
      <c r="C11" s="57" t="s">
        <v>361</v>
      </c>
      <c r="D11" s="58">
        <v>170</v>
      </c>
      <c r="E11" s="58">
        <v>320</v>
      </c>
      <c r="F11" s="58">
        <v>420</v>
      </c>
      <c r="G11" s="59">
        <f>_xlfn.IFS(Настройки!$B$2="M",D11,Настройки!$B$2="L",E11,Настройки!$B$2="XL",F11)</f>
        <v>170</v>
      </c>
      <c r="H11" s="57">
        <v>2</v>
      </c>
      <c r="I11" s="57">
        <v>2</v>
      </c>
      <c r="J11" s="57">
        <v>2</v>
      </c>
      <c r="K11" s="60">
        <f>_xlfn.IFS(Настройки!$B$2="M",H11,Настройки!$B$2="L",I11,Настройки!$B$2="XL",J11)</f>
        <v>2</v>
      </c>
      <c r="L11" s="57">
        <f t="shared" si="2"/>
        <v>0.45800000000000002</v>
      </c>
      <c r="M11" s="57">
        <f t="shared" si="0"/>
        <v>3</v>
      </c>
      <c r="N11" s="57">
        <v>40</v>
      </c>
      <c r="O11" s="61">
        <f t="shared" si="1"/>
        <v>275.72000000000003</v>
      </c>
      <c r="P11" s="62" t="s">
        <v>358</v>
      </c>
    </row>
    <row r="12" spans="1:16" ht="16.5" x14ac:dyDescent="0.3">
      <c r="A12" s="56" t="s">
        <v>379</v>
      </c>
      <c r="B12" s="56" t="s">
        <v>380</v>
      </c>
      <c r="C12" s="57" t="s">
        <v>361</v>
      </c>
      <c r="D12" s="58">
        <v>320</v>
      </c>
      <c r="E12" s="58">
        <v>470</v>
      </c>
      <c r="F12" s="58">
        <v>570</v>
      </c>
      <c r="G12" s="59">
        <f>_xlfn.IFS(Настройки!$B$2="M",D12,Настройки!$B$2="L",E12,Настройки!$B$2="XL",F12)</f>
        <v>320</v>
      </c>
      <c r="H12" s="57">
        <v>3</v>
      </c>
      <c r="I12" s="57">
        <v>3</v>
      </c>
      <c r="J12" s="57">
        <v>3</v>
      </c>
      <c r="K12" s="60">
        <f>_xlfn.IFS(Настройки!$B$2="M",H12,Настройки!$B$2="L",I12,Настройки!$B$2="XL",J12)</f>
        <v>3</v>
      </c>
      <c r="L12" s="57">
        <f t="shared" si="2"/>
        <v>0.45800000000000002</v>
      </c>
      <c r="M12" s="57">
        <f t="shared" si="0"/>
        <v>4</v>
      </c>
      <c r="N12" s="57">
        <v>40</v>
      </c>
      <c r="O12" s="61">
        <f t="shared" si="1"/>
        <v>599.68000000000006</v>
      </c>
      <c r="P12" s="62" t="s">
        <v>358</v>
      </c>
    </row>
    <row r="13" spans="1:16" ht="16.5" x14ac:dyDescent="0.3">
      <c r="A13" s="56" t="s">
        <v>381</v>
      </c>
      <c r="B13" s="56" t="s">
        <v>382</v>
      </c>
      <c r="C13" s="57" t="s">
        <v>383</v>
      </c>
      <c r="D13" s="58">
        <v>220</v>
      </c>
      <c r="E13" s="58">
        <v>220</v>
      </c>
      <c r="F13" s="58">
        <v>220</v>
      </c>
      <c r="G13" s="59">
        <f>_xlfn.IFS(Настройки!$B$2="M",D13,Настройки!$B$2="L",E13,Настройки!$B$2="XL",F13)</f>
        <v>220</v>
      </c>
      <c r="H13" s="57">
        <v>2</v>
      </c>
      <c r="I13" s="57">
        <v>2</v>
      </c>
      <c r="J13" s="57">
        <v>2</v>
      </c>
      <c r="K13" s="60">
        <f>_xlfn.IFS(Настройки!$B$2="M",H13,Настройки!$B$2="L",I13,Настройки!$B$2="XL",J13)</f>
        <v>2</v>
      </c>
      <c r="L13" s="57">
        <v>0.439</v>
      </c>
      <c r="M13" s="57">
        <f t="shared" si="0"/>
        <v>3</v>
      </c>
      <c r="N13" s="57">
        <v>40</v>
      </c>
      <c r="O13" s="61">
        <f t="shared" si="1"/>
        <v>313.15999999999997</v>
      </c>
      <c r="P13" s="62" t="s">
        <v>358</v>
      </c>
    </row>
  </sheetData>
  <dataValidations count="2">
    <dataValidation operator="equal" allowBlank="1" showErrorMessage="1" sqref="A1:P13" xr:uid="{00000000-0002-0000-0400-000000000000}">
      <formula1>0</formula1>
      <formula2>0</formula2>
    </dataValidation>
    <dataValidation type="list" operator="equal" allowBlank="1" showErrorMessage="1" sqref="C14:C25" xr:uid="{00000000-0002-0000-0400-000001000000}">
      <formula1>"2020 T-slot,2020 V-slot,2060 T-slot"</formula1>
      <formula2>0</formula2>
    </dataValidation>
  </dataValidations>
  <hyperlinks>
    <hyperlink ref="P2" r:id="rId1" xr:uid="{00000000-0004-0000-0400-000000000000}"/>
    <hyperlink ref="P3" r:id="rId2" xr:uid="{00000000-0004-0000-0400-000001000000}"/>
    <hyperlink ref="P4" r:id="rId3" xr:uid="{00000000-0004-0000-0400-000002000000}"/>
    <hyperlink ref="P5" r:id="rId4" xr:uid="{00000000-0004-0000-0400-000003000000}"/>
    <hyperlink ref="P6" r:id="rId5" xr:uid="{00000000-0004-0000-0400-000004000000}"/>
    <hyperlink ref="P7" r:id="rId6" xr:uid="{00000000-0004-0000-0400-000005000000}"/>
    <hyperlink ref="P8" r:id="rId7" xr:uid="{00000000-0004-0000-0400-000006000000}"/>
    <hyperlink ref="P9" r:id="rId8" xr:uid="{00000000-0004-0000-0400-000007000000}"/>
    <hyperlink ref="P10" r:id="rId9" xr:uid="{00000000-0004-0000-0400-000008000000}"/>
    <hyperlink ref="P11" r:id="rId10" xr:uid="{00000000-0004-0000-0400-000009000000}"/>
    <hyperlink ref="P12" r:id="rId11" xr:uid="{00000000-0004-0000-0400-00000A000000}"/>
    <hyperlink ref="P13" r:id="rId12" xr:uid="{00000000-0004-0000-0400-00000B000000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&amp;C&amp;"Arial,Обычный"&amp;A</oddHeader>
    <oddFooter>&amp;C&amp;"Arial,Обычный"Page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J13"/>
  <sheetViews>
    <sheetView zoomScaleNormal="100" workbookViewId="0">
      <selection activeCell="J8" sqref="J8:J10"/>
    </sheetView>
  </sheetViews>
  <sheetFormatPr defaultColWidth="10.625" defaultRowHeight="13.5" x14ac:dyDescent="0.25"/>
  <cols>
    <col min="1" max="1" width="13.375" style="3" customWidth="1"/>
    <col min="2" max="2" width="32.25" style="3" customWidth="1"/>
    <col min="3" max="3" width="14.875" style="4" customWidth="1"/>
    <col min="4" max="4" width="10.625" style="4"/>
    <col min="5" max="7" width="10.625" style="4" hidden="1"/>
    <col min="8" max="9" width="10.625" style="4"/>
    <col min="10" max="10" width="59.75" style="5" customWidth="1"/>
    <col min="11" max="16384" width="10.625" style="3"/>
  </cols>
  <sheetData>
    <row r="1" spans="1:10" ht="16.5" x14ac:dyDescent="0.25">
      <c r="A1" s="63" t="s">
        <v>143</v>
      </c>
      <c r="B1" s="63" t="s">
        <v>32</v>
      </c>
      <c r="C1" s="16" t="s">
        <v>147</v>
      </c>
      <c r="D1" s="16" t="s">
        <v>111</v>
      </c>
      <c r="E1" s="16" t="s">
        <v>413</v>
      </c>
      <c r="F1" s="16" t="s">
        <v>414</v>
      </c>
      <c r="G1" s="16" t="s">
        <v>415</v>
      </c>
      <c r="H1" s="16" t="s">
        <v>38</v>
      </c>
      <c r="I1" s="16" t="s">
        <v>112</v>
      </c>
      <c r="J1" s="64" t="s">
        <v>1</v>
      </c>
    </row>
    <row r="2" spans="1:10" ht="16.5" x14ac:dyDescent="0.25">
      <c r="A2" s="86" t="s">
        <v>416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12.75" customHeight="1" x14ac:dyDescent="0.25">
      <c r="A3" s="19" t="s">
        <v>417</v>
      </c>
      <c r="B3" s="19" t="s">
        <v>418</v>
      </c>
      <c r="C3" s="34" t="s">
        <v>419</v>
      </c>
      <c r="D3" s="34">
        <v>1</v>
      </c>
      <c r="E3" s="93">
        <v>10150</v>
      </c>
      <c r="F3" s="93">
        <v>12760</v>
      </c>
      <c r="G3" s="93">
        <v>16990</v>
      </c>
      <c r="H3" s="93">
        <v>10150</v>
      </c>
      <c r="I3" s="36" t="s">
        <v>75</v>
      </c>
      <c r="J3" s="106" t="s">
        <v>420</v>
      </c>
    </row>
    <row r="4" spans="1:10" ht="16.5" x14ac:dyDescent="0.25">
      <c r="A4" s="19" t="s">
        <v>421</v>
      </c>
      <c r="B4" s="19" t="s">
        <v>422</v>
      </c>
      <c r="C4" s="34" t="s">
        <v>419</v>
      </c>
      <c r="D4" s="34">
        <v>2</v>
      </c>
      <c r="E4" s="93"/>
      <c r="F4" s="93"/>
      <c r="G4" s="93"/>
      <c r="H4" s="93"/>
      <c r="I4" s="36" t="s">
        <v>75</v>
      </c>
      <c r="J4" s="106"/>
    </row>
    <row r="5" spans="1:10" ht="16.5" x14ac:dyDescent="0.25">
      <c r="A5" s="19" t="s">
        <v>423</v>
      </c>
      <c r="B5" s="19" t="s">
        <v>424</v>
      </c>
      <c r="C5" s="34" t="s">
        <v>419</v>
      </c>
      <c r="D5" s="34">
        <v>1</v>
      </c>
      <c r="E5" s="93"/>
      <c r="F5" s="93"/>
      <c r="G5" s="93"/>
      <c r="H5" s="93"/>
      <c r="I5" s="36" t="s">
        <v>75</v>
      </c>
      <c r="J5" s="106"/>
    </row>
    <row r="6" spans="1:10" ht="16.5" x14ac:dyDescent="0.25">
      <c r="A6" s="86" t="s">
        <v>425</v>
      </c>
      <c r="B6" s="86"/>
      <c r="C6" s="86"/>
      <c r="D6" s="86"/>
      <c r="E6" s="86"/>
      <c r="F6" s="86"/>
      <c r="G6" s="86"/>
      <c r="H6" s="86"/>
      <c r="I6" s="86"/>
      <c r="J6" s="86"/>
    </row>
    <row r="7" spans="1:10" ht="16.5" x14ac:dyDescent="0.25">
      <c r="A7" s="19" t="s">
        <v>426</v>
      </c>
      <c r="B7" s="19" t="s">
        <v>427</v>
      </c>
      <c r="C7" s="34" t="s">
        <v>428</v>
      </c>
      <c r="D7" s="34">
        <v>2</v>
      </c>
      <c r="E7" s="93">
        <v>10400</v>
      </c>
      <c r="F7" s="93">
        <v>13640</v>
      </c>
      <c r="G7" s="93">
        <v>17200</v>
      </c>
      <c r="H7" s="93">
        <v>10400</v>
      </c>
      <c r="I7" s="36" t="s">
        <v>75</v>
      </c>
      <c r="J7" s="65"/>
    </row>
    <row r="8" spans="1:10" ht="16.5" x14ac:dyDescent="0.25">
      <c r="A8" s="19" t="s">
        <v>429</v>
      </c>
      <c r="B8" s="19" t="s">
        <v>430</v>
      </c>
      <c r="C8" s="34" t="s">
        <v>428</v>
      </c>
      <c r="D8" s="34">
        <v>1</v>
      </c>
      <c r="E8" s="93"/>
      <c r="F8" s="93"/>
      <c r="G8" s="93"/>
      <c r="H8" s="93"/>
      <c r="I8" s="36" t="s">
        <v>75</v>
      </c>
      <c r="J8" s="106" t="s">
        <v>431</v>
      </c>
    </row>
    <row r="9" spans="1:10" ht="16.5" x14ac:dyDescent="0.25">
      <c r="A9" s="19" t="s">
        <v>432</v>
      </c>
      <c r="B9" s="19" t="s">
        <v>433</v>
      </c>
      <c r="C9" s="34" t="s">
        <v>428</v>
      </c>
      <c r="D9" s="34">
        <v>1</v>
      </c>
      <c r="E9" s="93"/>
      <c r="F9" s="93"/>
      <c r="G9" s="93"/>
      <c r="H9" s="93"/>
      <c r="I9" s="36" t="s">
        <v>75</v>
      </c>
      <c r="J9" s="106"/>
    </row>
    <row r="10" spans="1:10" ht="16.5" x14ac:dyDescent="0.25">
      <c r="A10" s="19" t="s">
        <v>434</v>
      </c>
      <c r="B10" s="19" t="s">
        <v>435</v>
      </c>
      <c r="C10" s="34" t="s">
        <v>428</v>
      </c>
      <c r="D10" s="34">
        <v>2</v>
      </c>
      <c r="E10" s="93"/>
      <c r="F10" s="93"/>
      <c r="G10" s="93"/>
      <c r="H10" s="93"/>
      <c r="I10" s="36" t="s">
        <v>75</v>
      </c>
      <c r="J10" s="106"/>
    </row>
    <row r="11" spans="1:10" ht="16.5" x14ac:dyDescent="0.25">
      <c r="A11" s="19" t="s">
        <v>436</v>
      </c>
      <c r="B11" s="19" t="s">
        <v>437</v>
      </c>
      <c r="C11" s="34" t="s">
        <v>428</v>
      </c>
      <c r="D11" s="34">
        <v>2</v>
      </c>
      <c r="E11" s="93"/>
      <c r="F11" s="93"/>
      <c r="G11" s="93"/>
      <c r="H11" s="93"/>
      <c r="I11" s="36" t="s">
        <v>75</v>
      </c>
      <c r="J11" s="65"/>
    </row>
    <row r="12" spans="1:10" ht="16.5" x14ac:dyDescent="0.25">
      <c r="A12" s="19" t="s">
        <v>438</v>
      </c>
      <c r="B12" s="19" t="s">
        <v>439</v>
      </c>
      <c r="C12" s="34" t="s">
        <v>428</v>
      </c>
      <c r="D12" s="34">
        <v>4</v>
      </c>
      <c r="E12" s="93"/>
      <c r="F12" s="93"/>
      <c r="G12" s="93"/>
      <c r="H12" s="93"/>
      <c r="I12" s="36" t="s">
        <v>75</v>
      </c>
      <c r="J12" s="65"/>
    </row>
    <row r="13" spans="1:10" ht="16.5" x14ac:dyDescent="0.25">
      <c r="A13" s="19" t="s">
        <v>440</v>
      </c>
      <c r="B13" s="19" t="s">
        <v>441</v>
      </c>
      <c r="C13" s="34" t="s">
        <v>428</v>
      </c>
      <c r="D13" s="34">
        <v>2</v>
      </c>
      <c r="E13" s="93"/>
      <c r="F13" s="93"/>
      <c r="G13" s="93"/>
      <c r="H13" s="93"/>
      <c r="I13" s="36" t="s">
        <v>75</v>
      </c>
      <c r="J13" s="65"/>
    </row>
  </sheetData>
  <mergeCells count="12">
    <mergeCell ref="A2:J2"/>
    <mergeCell ref="E3:E5"/>
    <mergeCell ref="F3:F5"/>
    <mergeCell ref="G3:G5"/>
    <mergeCell ref="H3:H5"/>
    <mergeCell ref="J3:J5"/>
    <mergeCell ref="A6:J6"/>
    <mergeCell ref="E7:E13"/>
    <mergeCell ref="F7:F13"/>
    <mergeCell ref="G7:G13"/>
    <mergeCell ref="H7:H13"/>
    <mergeCell ref="J8:J10"/>
  </mergeCells>
  <dataValidations count="2">
    <dataValidation operator="equal" allowBlank="1" showErrorMessage="1" promptTitle="Материал" prompt="АКП - алюмокомпозит. Пластиковый лист,_x000a_обклеенный тонкими листами алюминия с двух_x000a_сторон. Лёгкий, достаточно прочный и жёсткий,_x000a_относительно дешёвый._x000a__x000a_АМг2 - алюминиевый сплав. Дороже, тяжелее, но_x000a_жёстче._x000a__x000a_ПК - поликарбонат. Прозрачный, достаточно прочный" sqref="A1:J1 A2:I13" xr:uid="{00000000-0002-0000-0600-000000000000}">
      <formula1>0</formula1>
      <formula2>0</formula2>
    </dataValidation>
    <dataValidation operator="equal" allowBlank="1" showInputMessage="1" showErrorMessage="1" promptTitle="Материал" prompt="АКП - алюмокомпозит. Пластиковый лист,_x000a_обклеенный тонкими листами алюминия с двух_x000a_сторон. Лёгкий, достаточно прочный и жёсткий,_x000a_относительно дешёвый._x000a__x000a_АМг2 - алюминиевый сплав. Дороже, тяжелее, но_x000a_жёстче._x000a__x000a_ПК - поликарбонат. Прозрачный, достаточно прочный" sqref="C14:C1013" xr:uid="{00000000-0002-0000-0600-000001000000}">
      <formula1>0</formula1>
      <formula2>0</formula2>
    </dataValidation>
  </dataValidations>
  <hyperlinks>
    <hyperlink ref="I3" r:id="rId1" xr:uid="{00000000-0004-0000-0600-000000000000}"/>
    <hyperlink ref="I4" r:id="rId2" xr:uid="{00000000-0004-0000-0600-000001000000}"/>
    <hyperlink ref="I5" r:id="rId3" xr:uid="{00000000-0004-0000-0600-000002000000}"/>
    <hyperlink ref="I7" r:id="rId4" xr:uid="{00000000-0004-0000-0600-000003000000}"/>
    <hyperlink ref="I8" r:id="rId5" xr:uid="{00000000-0004-0000-0600-000004000000}"/>
    <hyperlink ref="I9" r:id="rId6" xr:uid="{00000000-0004-0000-0600-000005000000}"/>
    <hyperlink ref="I10" r:id="rId7" xr:uid="{00000000-0004-0000-0600-000006000000}"/>
    <hyperlink ref="I11" r:id="rId8" xr:uid="{00000000-0004-0000-0600-000007000000}"/>
    <hyperlink ref="I12" r:id="rId9" xr:uid="{00000000-0004-0000-0600-000008000000}"/>
    <hyperlink ref="I13" r:id="rId10" xr:uid="{00000000-0004-0000-0600-000009000000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&amp;C&amp;"Arial,Обычный"&amp;A</oddHeader>
    <oddFooter>&amp;C&amp;"Arial,Обычный"Page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M21"/>
  <sheetViews>
    <sheetView zoomScaleNormal="100" workbookViewId="0">
      <selection activeCell="K11" sqref="K11"/>
    </sheetView>
  </sheetViews>
  <sheetFormatPr defaultColWidth="10.625" defaultRowHeight="13.5" x14ac:dyDescent="0.25"/>
  <cols>
    <col min="1" max="1" width="34.125" style="1" customWidth="1"/>
    <col min="2" max="4" width="10.625" style="9" hidden="1" customWidth="1"/>
    <col min="5" max="5" width="5.25" style="9" hidden="1" customWidth="1"/>
    <col min="6" max="6" width="10.625" style="68" hidden="1" customWidth="1"/>
    <col min="7" max="7" width="10.625" style="9" customWidth="1"/>
    <col min="8" max="8" width="8.25" style="74" customWidth="1"/>
    <col min="9" max="10" width="10.625" style="72" hidden="1" customWidth="1"/>
    <col min="11" max="11" width="10.625" style="72" customWidth="1"/>
    <col min="12" max="12" width="9.375" style="9" customWidth="1"/>
    <col min="13" max="13" width="87.5" style="2" customWidth="1"/>
    <col min="14" max="16384" width="10.625" style="2"/>
  </cols>
  <sheetData>
    <row r="1" spans="1:13" ht="12.75" customHeight="1" x14ac:dyDescent="0.25">
      <c r="A1" s="86" t="s">
        <v>32</v>
      </c>
      <c r="B1" s="86" t="s">
        <v>384</v>
      </c>
      <c r="C1" s="86" t="s">
        <v>33</v>
      </c>
      <c r="D1" s="86" t="s">
        <v>34</v>
      </c>
      <c r="E1" s="86" t="s">
        <v>35</v>
      </c>
      <c r="F1" s="112" t="s">
        <v>385</v>
      </c>
      <c r="G1" s="114" t="s">
        <v>386</v>
      </c>
      <c r="H1" s="109" t="s">
        <v>387</v>
      </c>
      <c r="I1" s="111" t="s">
        <v>388</v>
      </c>
      <c r="J1" s="111" t="s">
        <v>37</v>
      </c>
      <c r="K1" s="111" t="s">
        <v>38</v>
      </c>
      <c r="L1" s="86" t="s">
        <v>39</v>
      </c>
      <c r="M1" s="86" t="s">
        <v>1</v>
      </c>
    </row>
    <row r="2" spans="1:13" ht="16.5" x14ac:dyDescent="0.25">
      <c r="A2" s="86"/>
      <c r="B2" s="16" t="s">
        <v>3</v>
      </c>
      <c r="C2" s="16" t="s">
        <v>389</v>
      </c>
      <c r="D2" s="16" t="s">
        <v>390</v>
      </c>
      <c r="E2" s="86"/>
      <c r="F2" s="113"/>
      <c r="G2" s="86"/>
      <c r="H2" s="110"/>
      <c r="I2" s="70" t="s">
        <v>391</v>
      </c>
      <c r="J2" s="70" t="s">
        <v>392</v>
      </c>
      <c r="K2" s="70" t="s">
        <v>393</v>
      </c>
      <c r="L2" s="86"/>
      <c r="M2" s="86"/>
    </row>
    <row r="3" spans="1:13" ht="16.5" x14ac:dyDescent="0.25">
      <c r="A3" s="86" t="s">
        <v>394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3" ht="12.75" customHeight="1" x14ac:dyDescent="0.25">
      <c r="A4" s="19" t="s">
        <v>395</v>
      </c>
      <c r="B4" s="34">
        <v>11900</v>
      </c>
      <c r="C4" s="34">
        <v>13000</v>
      </c>
      <c r="D4" s="34">
        <v>14500</v>
      </c>
      <c r="E4" s="34">
        <v>1</v>
      </c>
      <c r="F4" s="67">
        <v>1.1000000000000001</v>
      </c>
      <c r="G4" s="34">
        <f>ROUNDUP(_xlfn.IFS(Настройки!$B$2="M",B4,Настройки!$B$2="L",C4,Настройки!$B$2="XL",D4)*F4*E4,-3)</f>
        <v>14000</v>
      </c>
      <c r="H4" s="73">
        <f>Настройки!$B$11/Константы!$B$1</f>
        <v>1</v>
      </c>
      <c r="I4" s="69">
        <f>29/1000</f>
        <v>2.9000000000000001E-2</v>
      </c>
      <c r="J4" s="69">
        <f>I4*H4*E4</f>
        <v>2.9000000000000001E-2</v>
      </c>
      <c r="K4" s="71">
        <f>J4*G4</f>
        <v>406</v>
      </c>
      <c r="L4" s="36" t="s">
        <v>41</v>
      </c>
      <c r="M4" s="107" t="s">
        <v>396</v>
      </c>
    </row>
    <row r="5" spans="1:13" ht="16.5" x14ac:dyDescent="0.25">
      <c r="A5" s="19" t="s">
        <v>397</v>
      </c>
      <c r="B5" s="34">
        <v>4000</v>
      </c>
      <c r="C5" s="34">
        <f>B5+500</f>
        <v>4500</v>
      </c>
      <c r="D5" s="34">
        <f>C5+600</f>
        <v>5100</v>
      </c>
      <c r="E5" s="34">
        <v>1</v>
      </c>
      <c r="F5" s="67">
        <v>1.1000000000000001</v>
      </c>
      <c r="G5" s="34">
        <f>ROUNDUP(_xlfn.IFS(Настройки!$B$2="M",B5,Настройки!$B$2="L",C5,Настройки!$B$2="XL",D5)*F5*E5,-3)</f>
        <v>5000</v>
      </c>
      <c r="H5" s="73">
        <f>Настройки!$B$11/Константы!$B$1</f>
        <v>1</v>
      </c>
      <c r="I5" s="69">
        <f>40/1000</f>
        <v>0.04</v>
      </c>
      <c r="J5" s="69">
        <f>I5*H5*E5</f>
        <v>0.04</v>
      </c>
      <c r="K5" s="71">
        <f>J5*G5</f>
        <v>200</v>
      </c>
      <c r="L5" s="36" t="s">
        <v>41</v>
      </c>
      <c r="M5" s="107"/>
    </row>
    <row r="6" spans="1:13" ht="16.5" x14ac:dyDescent="0.3">
      <c r="A6" s="19" t="s">
        <v>398</v>
      </c>
      <c r="B6" s="34">
        <v>500</v>
      </c>
      <c r="C6" s="34">
        <v>500</v>
      </c>
      <c r="D6" s="34">
        <v>500</v>
      </c>
      <c r="E6" s="34">
        <v>1</v>
      </c>
      <c r="F6" s="67">
        <v>1.1000000000000001</v>
      </c>
      <c r="G6" s="34">
        <f>_xlfn.IFS(Настройки!$B$2="M",B6,Настройки!$B$2="L",C6,Настройки!$B$2="XL",D6)*E6</f>
        <v>500</v>
      </c>
      <c r="H6" s="73">
        <f>Настройки!$B$11/Константы!$B$1</f>
        <v>1</v>
      </c>
      <c r="I6" s="69">
        <f>200/1000</f>
        <v>0.2</v>
      </c>
      <c r="J6" s="69">
        <f>I6*H6*E6</f>
        <v>0.2</v>
      </c>
      <c r="K6" s="71">
        <f>J6*G6</f>
        <v>100</v>
      </c>
      <c r="L6" s="36" t="s">
        <v>41</v>
      </c>
      <c r="M6" s="76"/>
    </row>
    <row r="7" spans="1:13" ht="16.5" x14ac:dyDescent="0.25">
      <c r="A7" s="19" t="s">
        <v>398</v>
      </c>
      <c r="B7" s="34">
        <v>3000</v>
      </c>
      <c r="C7" s="34">
        <v>5000</v>
      </c>
      <c r="D7" s="34">
        <v>5000</v>
      </c>
      <c r="E7" s="34">
        <v>1</v>
      </c>
      <c r="F7" s="67">
        <v>1.1000000000000001</v>
      </c>
      <c r="G7" s="34">
        <f>_xlfn.IFS(Настройки!$B$2="M",B7,Настройки!$B$2="L",C7,Настройки!$B$2="XL",D7)*E7</f>
        <v>3000</v>
      </c>
      <c r="H7" s="73">
        <f>Настройки!$B$11/Константы!$B$1</f>
        <v>1</v>
      </c>
      <c r="I7" s="69">
        <f>200/1000</f>
        <v>0.2</v>
      </c>
      <c r="J7" s="69">
        <f>I7*H7*E7</f>
        <v>0.2</v>
      </c>
      <c r="K7" s="71">
        <f>J7*G7</f>
        <v>600</v>
      </c>
      <c r="L7" s="36" t="s">
        <v>41</v>
      </c>
      <c r="M7" s="108" t="s">
        <v>399</v>
      </c>
    </row>
    <row r="8" spans="1:13" ht="16.5" x14ac:dyDescent="0.25">
      <c r="A8" s="19" t="s">
        <v>400</v>
      </c>
      <c r="B8" s="34">
        <v>3000</v>
      </c>
      <c r="C8" s="34">
        <v>5000</v>
      </c>
      <c r="D8" s="34">
        <v>5000</v>
      </c>
      <c r="E8" s="34">
        <v>1</v>
      </c>
      <c r="F8" s="67">
        <v>1.1000000000000001</v>
      </c>
      <c r="G8" s="34">
        <f>_xlfn.IFS(Настройки!$B$2="M",B8,Настройки!$B$2="L",C8,Настройки!$B$2="XL",D8)*E8</f>
        <v>3000</v>
      </c>
      <c r="H8" s="73">
        <f>Настройки!$B$11/Константы!$B$1</f>
        <v>1</v>
      </c>
      <c r="I8" s="69">
        <f>1000/3000</f>
        <v>0.33333333333333331</v>
      </c>
      <c r="J8" s="69">
        <f>I8*H8*E8</f>
        <v>0.33333333333333331</v>
      </c>
      <c r="K8" s="71">
        <f>J8*G8</f>
        <v>1000</v>
      </c>
      <c r="L8" s="36" t="s">
        <v>41</v>
      </c>
      <c r="M8" s="108"/>
    </row>
    <row r="9" spans="1:13" ht="16.5" x14ac:dyDescent="0.25">
      <c r="A9" s="86" t="s">
        <v>401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</row>
    <row r="10" spans="1:13" ht="16.5" x14ac:dyDescent="0.3">
      <c r="A10" s="19" t="s">
        <v>402</v>
      </c>
      <c r="B10" s="34">
        <v>6</v>
      </c>
      <c r="C10" s="34">
        <v>6</v>
      </c>
      <c r="D10" s="34">
        <v>6</v>
      </c>
      <c r="E10" s="34">
        <v>1</v>
      </c>
      <c r="F10" s="67">
        <v>1.1000000000000001</v>
      </c>
      <c r="G10" s="34">
        <f>ROUNDUP(_xlfn.IFS(Настройки!$B$2="M",B10,Настройки!$B$2="L",C10,Настройки!$B$2="XL",D10)*F10,0)*E10</f>
        <v>7</v>
      </c>
      <c r="H10" s="73">
        <f>Настройки!$B$11/Константы!$B$1</f>
        <v>1</v>
      </c>
      <c r="I10" s="69">
        <f>64/50</f>
        <v>1.28</v>
      </c>
      <c r="J10" s="69">
        <f t="shared" ref="J10:J21" si="0">I10*H10</f>
        <v>1.28</v>
      </c>
      <c r="K10" s="69">
        <f t="shared" ref="K10:K21" si="1">J10*G10</f>
        <v>8.9600000000000009</v>
      </c>
      <c r="L10" s="36" t="s">
        <v>41</v>
      </c>
      <c r="M10" s="66"/>
    </row>
    <row r="11" spans="1:13" ht="16.5" x14ac:dyDescent="0.3">
      <c r="A11" s="19" t="s">
        <v>403</v>
      </c>
      <c r="B11" s="34">
        <v>4</v>
      </c>
      <c r="C11" s="34">
        <v>4</v>
      </c>
      <c r="D11" s="34">
        <v>4</v>
      </c>
      <c r="E11" s="34">
        <v>1</v>
      </c>
      <c r="F11" s="67">
        <v>1.1000000000000001</v>
      </c>
      <c r="G11" s="34">
        <f>ROUNDUP(_xlfn.IFS(Настройки!$B$2="M",B11,Настройки!$B$2="L",C11,Настройки!$B$2="XL",D11)*F11,0)*E11</f>
        <v>5</v>
      </c>
      <c r="H11" s="73">
        <f>Настройки!$B$11/Константы!$B$1</f>
        <v>1</v>
      </c>
      <c r="I11" s="69">
        <f>61/50</f>
        <v>1.22</v>
      </c>
      <c r="J11" s="69">
        <f t="shared" si="0"/>
        <v>1.22</v>
      </c>
      <c r="K11" s="69">
        <f t="shared" si="1"/>
        <v>6.1</v>
      </c>
      <c r="L11" s="36" t="s">
        <v>41</v>
      </c>
      <c r="M11" s="66"/>
    </row>
    <row r="12" spans="1:13" ht="16.5" x14ac:dyDescent="0.3">
      <c r="A12" s="19" t="s">
        <v>404</v>
      </c>
      <c r="B12" s="34">
        <v>7</v>
      </c>
      <c r="C12" s="34">
        <v>7</v>
      </c>
      <c r="D12" s="34">
        <v>7</v>
      </c>
      <c r="E12" s="34">
        <v>1</v>
      </c>
      <c r="F12" s="67">
        <v>1.1000000000000001</v>
      </c>
      <c r="G12" s="34">
        <f>ROUNDUP(_xlfn.IFS(Настройки!$B$2="M",B12,Настройки!$B$2="L",C12,Настройки!$B$2="XL",D12)*F12,0)*E12</f>
        <v>8</v>
      </c>
      <c r="H12" s="73">
        <f>Настройки!$B$11/Константы!$B$1</f>
        <v>1</v>
      </c>
      <c r="I12" s="69">
        <f>67/50</f>
        <v>1.34</v>
      </c>
      <c r="J12" s="69">
        <f t="shared" si="0"/>
        <v>1.34</v>
      </c>
      <c r="K12" s="71">
        <f t="shared" si="1"/>
        <v>10.72</v>
      </c>
      <c r="L12" s="36" t="s">
        <v>41</v>
      </c>
      <c r="M12" s="66"/>
    </row>
    <row r="13" spans="1:13" ht="16.5" x14ac:dyDescent="0.3">
      <c r="A13" s="19" t="s">
        <v>405</v>
      </c>
      <c r="B13" s="34">
        <v>1</v>
      </c>
      <c r="C13" s="34">
        <v>1</v>
      </c>
      <c r="D13" s="34">
        <v>1</v>
      </c>
      <c r="E13" s="34">
        <v>1</v>
      </c>
      <c r="F13" s="67">
        <v>1.1000000000000001</v>
      </c>
      <c r="G13" s="34">
        <f>ROUNDUP(_xlfn.IFS(Настройки!$B$2="M",B13,Настройки!$B$2="L",C13,Настройки!$B$2="XL",D13)*F13,0)*E13</f>
        <v>2</v>
      </c>
      <c r="H13" s="73">
        <f>Настройки!$B$11/Константы!$B$1</f>
        <v>1</v>
      </c>
      <c r="I13" s="69">
        <f>74/50</f>
        <v>1.48</v>
      </c>
      <c r="J13" s="69">
        <f t="shared" si="0"/>
        <v>1.48</v>
      </c>
      <c r="K13" s="69">
        <f t="shared" si="1"/>
        <v>2.96</v>
      </c>
      <c r="L13" s="36" t="s">
        <v>41</v>
      </c>
      <c r="M13" s="66"/>
    </row>
    <row r="14" spans="1:13" ht="16.5" x14ac:dyDescent="0.3">
      <c r="A14" s="19" t="s">
        <v>406</v>
      </c>
      <c r="B14" s="34">
        <f>ROUNDUP(B10*2+B11*3+B12*4+B13*5,-2)/100</f>
        <v>1</v>
      </c>
      <c r="C14" s="34">
        <f>ROUNDUP(C10*2+C11*3+C12*4+C13*5,-2)/100</f>
        <v>1</v>
      </c>
      <c r="D14" s="34">
        <f>ROUNDUP(D10*2+D11*3+D12*4+D13*5,-2)/100</f>
        <v>1</v>
      </c>
      <c r="E14" s="34">
        <v>1</v>
      </c>
      <c r="F14" s="67">
        <v>1.1000000000000001</v>
      </c>
      <c r="G14" s="34">
        <f>ROUNDUP(_xlfn.IFS(Настройки!$B$2="M",B14,Настройки!$B$2="L",C14,Настройки!$B$2="XL",D14)*F14,0)*E14</f>
        <v>2</v>
      </c>
      <c r="H14" s="73">
        <f>Настройки!$B$11/Константы!$B$1</f>
        <v>1</v>
      </c>
      <c r="I14" s="71">
        <v>77</v>
      </c>
      <c r="J14" s="71">
        <f t="shared" si="0"/>
        <v>77</v>
      </c>
      <c r="K14" s="71">
        <f t="shared" si="1"/>
        <v>154</v>
      </c>
      <c r="L14" s="36" t="s">
        <v>41</v>
      </c>
      <c r="M14" s="66"/>
    </row>
    <row r="15" spans="1:13" ht="16.5" x14ac:dyDescent="0.3">
      <c r="A15" s="19" t="s">
        <v>407</v>
      </c>
      <c r="B15" s="34">
        <v>4</v>
      </c>
      <c r="C15" s="34">
        <v>4</v>
      </c>
      <c r="D15" s="34">
        <v>4</v>
      </c>
      <c r="E15" s="34">
        <v>1</v>
      </c>
      <c r="F15" s="67">
        <v>1.1000000000000001</v>
      </c>
      <c r="G15" s="34">
        <f>ROUNDUP(_xlfn.IFS(Настройки!$B$2="M",B15,Настройки!$B$2="L",C15,Настройки!$B$2="XL",D15)*F15,0)*E15</f>
        <v>5</v>
      </c>
      <c r="H15" s="73">
        <f>Настройки!$B$11/Константы!$B$1</f>
        <v>1</v>
      </c>
      <c r="I15" s="69">
        <f>(34+19)/50</f>
        <v>1.06</v>
      </c>
      <c r="J15" s="69">
        <f t="shared" si="0"/>
        <v>1.06</v>
      </c>
      <c r="K15" s="69">
        <f t="shared" si="1"/>
        <v>5.3000000000000007</v>
      </c>
      <c r="L15" s="36" t="s">
        <v>41</v>
      </c>
      <c r="M15" s="66"/>
    </row>
    <row r="16" spans="1:13" ht="16.5" x14ac:dyDescent="0.3">
      <c r="A16" s="19" t="s">
        <v>408</v>
      </c>
      <c r="B16" s="34">
        <v>2</v>
      </c>
      <c r="C16" s="34">
        <v>2</v>
      </c>
      <c r="D16" s="34">
        <v>2</v>
      </c>
      <c r="E16" s="34">
        <v>1</v>
      </c>
      <c r="F16" s="67">
        <v>1.1000000000000001</v>
      </c>
      <c r="G16" s="34">
        <f>ROUNDUP(_xlfn.IFS(Настройки!$B$2="M",B16,Настройки!$B$2="L",C16,Настройки!$B$2="XL",D16)*F16,0)*E16</f>
        <v>3</v>
      </c>
      <c r="H16" s="73">
        <f>Настройки!$B$11/Константы!$B$1</f>
        <v>1</v>
      </c>
      <c r="I16" s="69">
        <f>(36+19)/50</f>
        <v>1.1000000000000001</v>
      </c>
      <c r="J16" s="69">
        <f t="shared" si="0"/>
        <v>1.1000000000000001</v>
      </c>
      <c r="K16" s="69">
        <f t="shared" si="1"/>
        <v>3.3000000000000003</v>
      </c>
      <c r="L16" s="36" t="s">
        <v>41</v>
      </c>
      <c r="M16" s="66"/>
    </row>
    <row r="17" spans="1:13" ht="16.5" x14ac:dyDescent="0.3">
      <c r="A17" s="19" t="s">
        <v>409</v>
      </c>
      <c r="B17" s="34">
        <v>2</v>
      </c>
      <c r="C17" s="34">
        <v>2</v>
      </c>
      <c r="D17" s="34">
        <v>2</v>
      </c>
      <c r="E17" s="34">
        <v>1</v>
      </c>
      <c r="F17" s="67">
        <v>1.1000000000000001</v>
      </c>
      <c r="G17" s="34">
        <f>ROUNDUP(_xlfn.IFS(Настройки!$B$2="M",B17,Настройки!$B$2="L",C17,Настройки!$B$2="XL",D17)*F17,0)*E17</f>
        <v>3</v>
      </c>
      <c r="H17" s="73">
        <f>Настройки!$B$11/Константы!$B$1</f>
        <v>1</v>
      </c>
      <c r="I17" s="69">
        <f>(39+19)/50</f>
        <v>1.1599999999999999</v>
      </c>
      <c r="J17" s="69">
        <f t="shared" si="0"/>
        <v>1.1599999999999999</v>
      </c>
      <c r="K17" s="69">
        <f t="shared" si="1"/>
        <v>3.4799999999999995</v>
      </c>
      <c r="L17" s="36" t="s">
        <v>41</v>
      </c>
      <c r="M17" s="66"/>
    </row>
    <row r="18" spans="1:13" ht="16.5" x14ac:dyDescent="0.3">
      <c r="A18" s="19" t="s">
        <v>410</v>
      </c>
      <c r="B18" s="34">
        <f>ROUNDUP(B14*2+B15*3+B16*4+B17*5,-2)/100</f>
        <v>1</v>
      </c>
      <c r="C18" s="34">
        <f>ROUNDUP(C14*2+C15*3+C16*4+C17*5,-2)/100</f>
        <v>1</v>
      </c>
      <c r="D18" s="34">
        <f>ROUNDUP(D14*2+D15*3+D16*4+D17*5,-2)/100</f>
        <v>1</v>
      </c>
      <c r="E18" s="34">
        <v>1</v>
      </c>
      <c r="F18" s="67">
        <v>1.1000000000000001</v>
      </c>
      <c r="G18" s="34">
        <f>ROUNDUP(_xlfn.IFS(Настройки!$B$2="M",B18,Настройки!$B$2="L",C18,Настройки!$B$2="XL",D18)*F18,0)*E18</f>
        <v>2</v>
      </c>
      <c r="H18" s="73">
        <f>Настройки!$B$11/Константы!$B$1</f>
        <v>1</v>
      </c>
      <c r="I18" s="71">
        <v>116</v>
      </c>
      <c r="J18" s="71">
        <f t="shared" si="0"/>
        <v>116</v>
      </c>
      <c r="K18" s="71">
        <f t="shared" si="1"/>
        <v>232</v>
      </c>
      <c r="L18" s="36" t="s">
        <v>41</v>
      </c>
      <c r="M18" s="66"/>
    </row>
    <row r="19" spans="1:13" ht="16.5" x14ac:dyDescent="0.3">
      <c r="A19" s="19" t="s">
        <v>532</v>
      </c>
      <c r="B19" s="53">
        <v>2</v>
      </c>
      <c r="C19" s="53">
        <v>2</v>
      </c>
      <c r="D19" s="53">
        <v>2</v>
      </c>
      <c r="E19" s="53">
        <v>1</v>
      </c>
      <c r="F19" s="67">
        <v>1.1000000000000001</v>
      </c>
      <c r="G19" s="53">
        <f>ROUNDUP(_xlfn.IFS(Настройки!$B$2="M",B19,Настройки!$B$2="L",C19,Настройки!$B$2="XL",D19)*F19,0)*E19</f>
        <v>3</v>
      </c>
      <c r="H19" s="73">
        <f>Настройки!$B$11/Константы!$B$1</f>
        <v>1</v>
      </c>
      <c r="I19" s="71">
        <v>123</v>
      </c>
      <c r="J19" s="71">
        <f t="shared" ref="J19:J20" si="2">I19*H19</f>
        <v>123</v>
      </c>
      <c r="K19" s="71">
        <f t="shared" ref="K19:K20" si="3">J19*G19</f>
        <v>369</v>
      </c>
      <c r="L19" s="36" t="s">
        <v>41</v>
      </c>
      <c r="M19" s="66" t="s">
        <v>534</v>
      </c>
    </row>
    <row r="20" spans="1:13" ht="16.5" x14ac:dyDescent="0.3">
      <c r="A20" s="19" t="s">
        <v>533</v>
      </c>
      <c r="B20" s="53">
        <v>1</v>
      </c>
      <c r="C20" s="53">
        <v>1</v>
      </c>
      <c r="D20" s="53">
        <v>1</v>
      </c>
      <c r="E20" s="53">
        <v>1</v>
      </c>
      <c r="F20" s="67">
        <v>1.1000000000000001</v>
      </c>
      <c r="G20" s="53">
        <f>ROUNDUP(_xlfn.IFS(Настройки!$B$2="M",B20,Настройки!$B$2="L",C20,Настройки!$B$2="XL",D20)*F20,0)*E20</f>
        <v>2</v>
      </c>
      <c r="H20" s="73">
        <f>Настройки!$B$11/Константы!$B$1</f>
        <v>1</v>
      </c>
      <c r="I20" s="71">
        <v>123</v>
      </c>
      <c r="J20" s="71">
        <f t="shared" si="2"/>
        <v>123</v>
      </c>
      <c r="K20" s="71">
        <f t="shared" si="3"/>
        <v>246</v>
      </c>
      <c r="L20" s="36" t="s">
        <v>41</v>
      </c>
      <c r="M20" s="66" t="s">
        <v>535</v>
      </c>
    </row>
    <row r="21" spans="1:13" ht="33" x14ac:dyDescent="0.3">
      <c r="A21" s="19" t="s">
        <v>411</v>
      </c>
      <c r="B21" s="34">
        <v>1</v>
      </c>
      <c r="C21" s="34">
        <v>1</v>
      </c>
      <c r="D21" s="34">
        <v>1</v>
      </c>
      <c r="E21" s="34">
        <v>1</v>
      </c>
      <c r="F21" s="67">
        <v>1.1000000000000001</v>
      </c>
      <c r="G21" s="34">
        <f>ROUNDUP(_xlfn.IFS(Настройки!$B$2="M",B21,Настройки!$B$2="L",C21,Настройки!$B$2="XL",D21)*F21,0)*E21</f>
        <v>2</v>
      </c>
      <c r="H21" s="73">
        <f>Настройки!$B$11/Константы!$B$1</f>
        <v>1</v>
      </c>
      <c r="I21" s="71">
        <v>155</v>
      </c>
      <c r="J21" s="71">
        <f t="shared" si="0"/>
        <v>155</v>
      </c>
      <c r="K21" s="71">
        <f t="shared" si="1"/>
        <v>310</v>
      </c>
      <c r="L21" s="36" t="s">
        <v>41</v>
      </c>
      <c r="M21" s="77" t="s">
        <v>412</v>
      </c>
    </row>
  </sheetData>
  <mergeCells count="13">
    <mergeCell ref="M4:M5"/>
    <mergeCell ref="M7:M8"/>
    <mergeCell ref="A9:M9"/>
    <mergeCell ref="H1:H2"/>
    <mergeCell ref="I1:K1"/>
    <mergeCell ref="L1:L2"/>
    <mergeCell ref="M1:M2"/>
    <mergeCell ref="A3:M3"/>
    <mergeCell ref="A1:A2"/>
    <mergeCell ref="B1:D1"/>
    <mergeCell ref="E1:E2"/>
    <mergeCell ref="F1:F2"/>
    <mergeCell ref="G1:G2"/>
  </mergeCells>
  <dataValidations count="4">
    <dataValidation operator="equal" allowBlank="1" showErrorMessage="1" sqref="A1:M2 A3:L21" xr:uid="{00000000-0002-0000-0500-000000000000}">
      <formula1>0</formula1>
      <formula2>0</formula2>
    </dataValidation>
    <dataValidation operator="equal" allowBlank="1" showInputMessage="1" showErrorMessage="1" promptTitle="Единиц / Длина" prompt="Для товаров, продающихся поштучно - количетство_x000a_единиц этого товара._x000a__x000a_Для товаров, продающихся погонажно - длина в_x000a_миллиметрах." sqref="G22:G1021" xr:uid="{00000000-0002-0000-0500-000001000000}">
      <formula1>0</formula1>
      <formula2>0</formula2>
    </dataValidation>
    <dataValidation operator="equal" allowBlank="1" showInputMessage="1" showErrorMessage="1" promptTitle="Цена итого" prompt="Суммарная цена всех единиц товара._x000a__x000a_Изменение значений в этом столбце влияет на_x000a_расчёт общей стоимости принтера." sqref="K22:K1021" xr:uid="{00000000-0002-0000-0500-000002000000}">
      <formula1>0</formula1>
      <formula2>0</formula2>
    </dataValidation>
    <dataValidation operator="equal" allowBlank="1" showInputMessage="1" showErrorMessage="1" promptTitle="Ссылки" prompt="Ссылки даны для ознакомления. Товары_x000a_подбирались исходя из принципа &quot;максимальное_x000a_качество за минимальные деньги&quot;. Если какой-то_x000a_товар закончился или не устраивает вас, то вы_x000a_можете заменить его на аналогичный. Главное_x000a_убедиться, что это действительно ана" sqref="L22:L1021" xr:uid="{00000000-0002-0000-0500-000003000000}">
      <formula1>0</formula1>
      <formula2>0</formula2>
    </dataValidation>
  </dataValidations>
  <hyperlinks>
    <hyperlink ref="L4" r:id="rId1" xr:uid="{00000000-0004-0000-0500-000000000000}"/>
    <hyperlink ref="L5" r:id="rId2" xr:uid="{00000000-0004-0000-0500-000001000000}"/>
    <hyperlink ref="L6" r:id="rId3" xr:uid="{00000000-0004-0000-0500-000002000000}"/>
    <hyperlink ref="L7" r:id="rId4" xr:uid="{00000000-0004-0000-0500-000003000000}"/>
    <hyperlink ref="L8" r:id="rId5" xr:uid="{00000000-0004-0000-0500-000004000000}"/>
    <hyperlink ref="L10" r:id="rId6" xr:uid="{00000000-0004-0000-0500-000005000000}"/>
    <hyperlink ref="L11" r:id="rId7" xr:uid="{00000000-0004-0000-0500-000006000000}"/>
    <hyperlink ref="L12" r:id="rId8" xr:uid="{00000000-0004-0000-0500-000007000000}"/>
    <hyperlink ref="L13" r:id="rId9" xr:uid="{00000000-0004-0000-0500-000008000000}"/>
    <hyperlink ref="L14" r:id="rId10" xr:uid="{00000000-0004-0000-0500-000009000000}"/>
    <hyperlink ref="L15" r:id="rId11" xr:uid="{00000000-0004-0000-0500-00000A000000}"/>
    <hyperlink ref="L16" r:id="rId12" xr:uid="{00000000-0004-0000-0500-00000B000000}"/>
    <hyperlink ref="L17" r:id="rId13" xr:uid="{00000000-0004-0000-0500-00000C000000}"/>
    <hyperlink ref="L18" r:id="rId14" xr:uid="{00000000-0004-0000-0500-00000D000000}"/>
    <hyperlink ref="L21" r:id="rId15" xr:uid="{00000000-0004-0000-0500-00000E000000}"/>
    <hyperlink ref="L19" r:id="rId16" xr:uid="{F971E781-609B-4964-B7B3-906C3E9BB190}"/>
    <hyperlink ref="L20" r:id="rId17" xr:uid="{AF84EE9D-CF4B-45C8-AEFE-A2E35ADBB818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&amp;C&amp;"Arial,Обычный"&amp;A</oddHeader>
    <oddFooter>&amp;C&amp;"Arial,Обычный"Page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B11"/>
  <sheetViews>
    <sheetView zoomScaleNormal="100" workbookViewId="0">
      <selection activeCell="B2" sqref="B2"/>
    </sheetView>
  </sheetViews>
  <sheetFormatPr defaultColWidth="10.625" defaultRowHeight="13.5" x14ac:dyDescent="0.25"/>
  <cols>
    <col min="1" max="1" width="29.25" style="12" customWidth="1"/>
    <col min="5" max="5" width="18.125" customWidth="1"/>
  </cols>
  <sheetData>
    <row r="1" spans="1:2" ht="27" x14ac:dyDescent="0.25">
      <c r="A1" s="12" t="s">
        <v>442</v>
      </c>
      <c r="B1" s="4">
        <v>82</v>
      </c>
    </row>
    <row r="2" spans="1:2" x14ac:dyDescent="0.25">
      <c r="A2" t="s">
        <v>443</v>
      </c>
      <c r="B2">
        <v>1450</v>
      </c>
    </row>
    <row r="3" spans="1:2" x14ac:dyDescent="0.25">
      <c r="A3" t="s">
        <v>444</v>
      </c>
      <c r="B3">
        <v>1636</v>
      </c>
    </row>
    <row r="4" spans="1:2" x14ac:dyDescent="0.25">
      <c r="A4" t="s">
        <v>445</v>
      </c>
      <c r="B4">
        <v>1986</v>
      </c>
    </row>
    <row r="5" spans="1:2" x14ac:dyDescent="0.25">
      <c r="A5" t="s">
        <v>446</v>
      </c>
      <c r="B5">
        <v>2894</v>
      </c>
    </row>
    <row r="6" spans="1:2" x14ac:dyDescent="0.25">
      <c r="A6" t="s">
        <v>447</v>
      </c>
      <c r="B6">
        <v>2380</v>
      </c>
    </row>
    <row r="7" spans="1:2" x14ac:dyDescent="0.25">
      <c r="A7" t="s">
        <v>448</v>
      </c>
      <c r="B7">
        <v>3680</v>
      </c>
    </row>
    <row r="9" spans="1:2" x14ac:dyDescent="0.25">
      <c r="A9" s="12" t="s">
        <v>476</v>
      </c>
    </row>
    <row r="10" spans="1:2" x14ac:dyDescent="0.25">
      <c r="A10" s="12" t="s">
        <v>477</v>
      </c>
    </row>
    <row r="11" spans="1:2" x14ac:dyDescent="0.25">
      <c r="A11" s="12" t="s">
        <v>478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&amp;C&amp;"Arial,Обычный"&amp;A</oddHeader>
    <oddFooter>&amp;C&amp;"Arial,Обычный"Page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D12"/>
  <sheetViews>
    <sheetView zoomScaleNormal="100" workbookViewId="0">
      <selection activeCell="C13" sqref="C13"/>
    </sheetView>
  </sheetViews>
  <sheetFormatPr defaultColWidth="10.625" defaultRowHeight="13.5" x14ac:dyDescent="0.25"/>
  <cols>
    <col min="1" max="1" width="21.375" customWidth="1"/>
  </cols>
  <sheetData>
    <row r="1" spans="1:4" x14ac:dyDescent="0.25">
      <c r="A1" t="s">
        <v>449</v>
      </c>
    </row>
    <row r="2" spans="1:4" x14ac:dyDescent="0.25">
      <c r="A2" t="s">
        <v>450</v>
      </c>
      <c r="B2">
        <f>34+269+16+16+16+306+3+18+52+398+45+70+34</f>
        <v>1277</v>
      </c>
      <c r="C2" s="13">
        <v>1.1000000000000001</v>
      </c>
      <c r="D2">
        <f t="shared" ref="D2:D7" si="0">ROUND(B2*C2,0)</f>
        <v>1405</v>
      </c>
    </row>
    <row r="3" spans="1:4" x14ac:dyDescent="0.25">
      <c r="A3" t="s">
        <v>451</v>
      </c>
      <c r="B3">
        <f>B2+150*3</f>
        <v>1727</v>
      </c>
      <c r="C3" s="13">
        <v>1.1000000000000001</v>
      </c>
      <c r="D3">
        <f t="shared" si="0"/>
        <v>1900</v>
      </c>
    </row>
    <row r="4" spans="1:4" x14ac:dyDescent="0.25">
      <c r="A4" t="s">
        <v>452</v>
      </c>
      <c r="B4">
        <f>B2+3*250</f>
        <v>2027</v>
      </c>
      <c r="C4" s="13">
        <v>1.1000000000000001</v>
      </c>
      <c r="D4">
        <f t="shared" si="0"/>
        <v>2230</v>
      </c>
    </row>
    <row r="5" spans="1:4" x14ac:dyDescent="0.25">
      <c r="A5" t="s">
        <v>453</v>
      </c>
      <c r="B5">
        <f>2341+29+36</f>
        <v>2406</v>
      </c>
      <c r="C5" s="13">
        <v>1.1000000000000001</v>
      </c>
      <c r="D5">
        <f t="shared" si="0"/>
        <v>2647</v>
      </c>
    </row>
    <row r="6" spans="1:4" x14ac:dyDescent="0.25">
      <c r="A6" t="s">
        <v>454</v>
      </c>
      <c r="B6">
        <f>B5+2*150</f>
        <v>2706</v>
      </c>
      <c r="C6" s="13">
        <v>1.1000000000000001</v>
      </c>
      <c r="D6">
        <f t="shared" si="0"/>
        <v>2977</v>
      </c>
    </row>
    <row r="7" spans="1:4" x14ac:dyDescent="0.25">
      <c r="A7" t="s">
        <v>455</v>
      </c>
      <c r="B7">
        <f>B5+2*250</f>
        <v>2906</v>
      </c>
      <c r="C7" s="13">
        <v>1.1000000000000001</v>
      </c>
      <c r="D7">
        <f t="shared" si="0"/>
        <v>3197</v>
      </c>
    </row>
    <row r="8" spans="1:4" x14ac:dyDescent="0.25">
      <c r="C8" s="13"/>
    </row>
    <row r="9" spans="1:4" x14ac:dyDescent="0.25">
      <c r="C9" s="13"/>
    </row>
    <row r="10" spans="1:4" x14ac:dyDescent="0.25">
      <c r="C10" s="13"/>
    </row>
    <row r="11" spans="1:4" x14ac:dyDescent="0.25">
      <c r="C11" s="13"/>
    </row>
    <row r="12" spans="1:4" x14ac:dyDescent="0.25">
      <c r="C12" s="13"/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&amp;C&amp;"Arial,Обычный"&amp;A</oddHeader>
    <oddFooter>&amp;C&amp;"Arial,Обычный"Page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18528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Настройки</vt:lpstr>
      <vt:lpstr>Покупные изд.</vt:lpstr>
      <vt:lpstr>Стандартные изд.</vt:lpstr>
      <vt:lpstr>Печатные изд.</vt:lpstr>
      <vt:lpstr>Профиль</vt:lpstr>
      <vt:lpstr>Зашивка</vt:lpstr>
      <vt:lpstr>Проводка</vt:lpstr>
      <vt:lpstr>Константы</vt:lpstr>
      <vt:lpstr>Расчёты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dsorkin</dc:creator>
  <dc:description/>
  <cp:lastModifiedBy>Dmitry Sorkin</cp:lastModifiedBy>
  <cp:revision>358</cp:revision>
  <dcterms:created xsi:type="dcterms:W3CDTF">2025-05-09T17:49:55Z</dcterms:created>
  <dcterms:modified xsi:type="dcterms:W3CDTF">2026-08-17T21:57:24Z</dcterms:modified>
  <dc:language>ru-RU</dc:language>
</cp:coreProperties>
</file>